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mérleg  1_tábla" sheetId="1" r:id="rId1"/>
    <sheet name="Cigány" sheetId="2" r:id="rId2"/>
    <sheet name="német" sheetId="3" r:id="rId3"/>
    <sheet name="horvát" sheetId="4" r:id="rId4"/>
    <sheet name="Bevétel " sheetId="5" r:id="rId5"/>
    <sheet name="Kiadás" sheetId="6" r:id="rId6"/>
    <sheet name="Létszám" sheetId="7" r:id="rId7"/>
    <sheet name="Beruházás" sheetId="8" r:id="rId8"/>
    <sheet name="Felújítás" sheetId="9" r:id="rId9"/>
    <sheet name="3_c_tábla " sheetId="10" r:id="rId10"/>
    <sheet name="Címrend 09.30." sheetId="11" r:id="rId11"/>
    <sheet name="5.tábla" sheetId="12" r:id="rId12"/>
    <sheet name="6.tábla" sheetId="13" r:id="rId13"/>
    <sheet name="7.tábla" sheetId="14" r:id="rId14"/>
    <sheet name="8.tábla" sheetId="15" r:id="rId15"/>
  </sheets>
  <externalReferences>
    <externalReference r:id="rId18"/>
    <externalReference r:id="rId19"/>
    <externalReference r:id="rId20"/>
  </externalReferences>
  <definedNames>
    <definedName name="_xlnm.Print_Area" localSheetId="9">'3_c_tábla '!$A$1:$G$26</definedName>
    <definedName name="_xlnm.Print_Area" localSheetId="11">'5.tábla'!$A$2:$Z$51</definedName>
    <definedName name="_xlnm.Print_Titles" localSheetId="11">'5.tábla'!$2:$2</definedName>
    <definedName name="_xlnm.Print_Titles" localSheetId="12">'6.tábla'!$1:$1</definedName>
    <definedName name="_xlnm.Print_Area" localSheetId="13">'7.tábla'!$A$1:$E$33</definedName>
    <definedName name="_xlnm.Print_Titles" localSheetId="13">'7.tábla'!$1:$1</definedName>
    <definedName name="_xlnm.Print_Area" localSheetId="14">'8.tábla'!$A$1:$E$267</definedName>
    <definedName name="_xlnm.Print_Titles" localSheetId="7">'Beruházás'!$1:$1</definedName>
    <definedName name="_xlnm.Print_Area" localSheetId="4">'Bevétel '!$A$1:$P$139</definedName>
    <definedName name="_xlnm.Print_Titles" localSheetId="4">'Bevétel '!$1:$1</definedName>
    <definedName name="_xlnm.Print_Area" localSheetId="1">'Cigány'!$A$1:$H$13</definedName>
    <definedName name="_xlnm.Print_Titles" localSheetId="8">'Felújítás'!$1:$1</definedName>
    <definedName name="_xlnm.Print_Area" localSheetId="3">'horvát'!$A$1:$H$13</definedName>
    <definedName name="_xlnm.Print_Titles" localSheetId="5">'Kiadás'!$1:$1</definedName>
    <definedName name="_xlnm.Print_Titles" localSheetId="6">'Létszám'!$1:$2</definedName>
    <definedName name="_xlnm.Print_Area" localSheetId="2">'német'!$A$1:$H$13</definedName>
    <definedName name="_1Excel_BuiltIn_Print_Area_1_1">#REF!</definedName>
    <definedName name="_1Excel_BuiltIn_Print_Area_1_1_2">#REF!</definedName>
    <definedName name="area2">#REF!</definedName>
    <definedName name="ddd_10">"$#HIV!.$A$2:$N$94"</definedName>
    <definedName name="ddd_12">#REF!</definedName>
    <definedName name="ddd_13">#REF!</definedName>
    <definedName name="ddd_14">#REF!</definedName>
    <definedName name="ddd_15">#REF!</definedName>
    <definedName name="ddd_2">"$#HIV!.$A$2:$N$94"</definedName>
    <definedName name="ddd_4">"$#HIV!.$A$2:$N$94"</definedName>
    <definedName name="ddd_1">"$#HIV!.$A$2:$N$94"</definedName>
    <definedName name="ddd_3">"$#HIV!.$A$2:$N$94"</definedName>
    <definedName name="ddd">#REF!</definedName>
    <definedName name="ddd_11">#REF!</definedName>
    <definedName name="ddd_11_13">#REF!</definedName>
    <definedName name="ddd_11">#REF!</definedName>
    <definedName name="ddd_11_2">#REF!</definedName>
    <definedName name="ddd_12_14">#REF!</definedName>
    <definedName name="ddd_12_15">#REF!</definedName>
    <definedName name="ddd_121">#REF!</definedName>
    <definedName name="ddd_12_1">#REF!</definedName>
    <definedName name="ddd_12_2">#REF!</definedName>
    <definedName name="ddd_12_3">#REF!</definedName>
    <definedName name="ddd_12_4">#REF!</definedName>
    <definedName name="ddd_12_5">#REF!</definedName>
    <definedName name="ddd_21">#REF!</definedName>
    <definedName name="ddd_31">#REF!</definedName>
    <definedName name="ddd_41">#REF!</definedName>
    <definedName name="ddd_5">#REF!</definedName>
    <definedName name="ddd_9">#REF!</definedName>
    <definedName name="Excel_BuiltIn_Print_Area_1_12">#REF!</definedName>
    <definedName name="Excel_BuiltIn_Print_Area_1_13">#REF!</definedName>
    <definedName name="Excel_BuiltIn_Print_Area_1_14">#REF!</definedName>
    <definedName name="Excel_BuiltIn_Print_Area_1_15">#REF!</definedName>
    <definedName name="Excel_BuiltIn_Print_Area_1">#REF!</definedName>
    <definedName name="Excel_BuiltIn_Print_Area_1_1_12">#REF!</definedName>
    <definedName name="Excel_BuiltIn_Print_Area_1_1_13">#REF!</definedName>
    <definedName name="Excel_BuiltIn_Print_Area_1_1">#REF!</definedName>
    <definedName name="Excel_BuiltIn_Print_Area_1_1_10">"$#HIV!.$A$1:$BW$25"</definedName>
    <definedName name="Excel_BuiltIn_Print_Area_1_1_121">#REF!</definedName>
    <definedName name="Excel_BuiltIn_Print_Area_1_1_131">#REF!</definedName>
    <definedName name="Excel_BuiltIn_Print_Area_1_1_14">#REF!</definedName>
    <definedName name="Excel_BuiltIn_Print_Area_1_1_15">#REF!</definedName>
    <definedName name="Excel_BuiltIn_Print_Area_1_1_2">"$#HIV!.$A$1:$BW$25"</definedName>
    <definedName name="Excel_BuiltIn_Print_Area_1_1_4">"$#HIV!.$A$1:$BW$25"</definedName>
    <definedName name="Excel_BuiltIn_Print_Area_1_1_1">"$#HIV!.$A$1:$BW$25"</definedName>
    <definedName name="Excel_BuiltIn_Print_Area_1_1_3">"$#HIV!.$A$1:$BW$25"</definedName>
    <definedName name="Excel_BuiltIn_Print_Area_1_11">#REF!</definedName>
    <definedName name="Excel_BuiltIn_Print_Area_1_1_1_14">#REF!</definedName>
    <definedName name="Excel_BuiltIn_Print_Area_1_1_1_15">#REF!</definedName>
    <definedName name="Excel_BuiltIn_Print_Area_1_1_11">#REF!</definedName>
    <definedName name="Excel_BuiltIn_Print_Area_1_1_1_10">"$#HIV!.$A$1:$BW$25"</definedName>
    <definedName name="Excel_BuiltIn_Print_Area_1_1_1_12">#REF!</definedName>
    <definedName name="Excel_BuiltIn_Print_Area_1_1_1_141">#REF!</definedName>
    <definedName name="Excel_BuiltIn_Print_Area_1_1_1_151">#REF!</definedName>
    <definedName name="Excel_BuiltIn_Print_Area_1_1_1_2">"$#HIV!.$A$1:$BW$25"</definedName>
    <definedName name="Excel_BuiltIn_Print_Area_1_1_1_4">"$#HIV!.$A$1:$BW$25"</definedName>
    <definedName name="Excel_BuiltIn_Print_Area_1_1_1_1">"$#HIV!.$A$1:$BW$25"</definedName>
    <definedName name="Excel_BuiltIn_Print_Area_1_1_1_3">"$#HIV!.$A$1:$BW$25"</definedName>
    <definedName name="Excel_BuiltIn_Print_Area_1_1_12">#REF!</definedName>
    <definedName name="Excel_BuiltIn_Print_Area_1_1_1_11">#REF!</definedName>
    <definedName name="Excel_BuiltIn_Print_Area_1_1_1_1_10">"$#HIV!.$A$1:$BT$28"</definedName>
    <definedName name="Excel_BuiltIn_Print_Area_1_1_1_1_12">#REF!</definedName>
    <definedName name="Excel_BuiltIn_Print_Area_1_1_1_1_14">#REF!</definedName>
    <definedName name="Excel_BuiltIn_Print_Area_1_1_1_1_15">#REF!</definedName>
    <definedName name="Excel_BuiltIn_Print_Area_1_1_1_1_2">"$#HIV!.$A$1:$BT$28"</definedName>
    <definedName name="Excel_BuiltIn_Print_Area_1_1_1_1_4">"$#HIV!.$A$1:$BT$28"</definedName>
    <definedName name="Excel_BuiltIn_Print_Area_1_1_1_1_1">"$#HIV!.$A$1:$BT$28"</definedName>
    <definedName name="Excel_BuiltIn_Print_Area_1_1_1_1_3">"$#HIV!.$A$1:$BT$28"</definedName>
    <definedName name="Excel_BuiltIn_Print_Area_1_1_1_12">#REF!</definedName>
    <definedName name="Excel_BuiltIn_Print_Area_1_1_1_1_11">#REF!</definedName>
    <definedName name="Excel_BuiltIn_Print_Area_1_1_1_1_12">#REF!</definedName>
    <definedName name="Excel_BuiltIn_Print_Area_1_1_1_1_1_1">#REF!</definedName>
    <definedName name="Excel_BuiltIn_Print_Area_1_1_1_1_1_11">#REF!</definedName>
    <definedName name="Excel_BuiltIn_Print_Area_1_1_1_1_21">#REF!</definedName>
    <definedName name="Excel_BuiltIn_Print_Area_1_1_1_1_2_1">#REF!</definedName>
    <definedName name="Excel_BuiltIn_Print_Area_1_1_1_1_31">#REF!</definedName>
    <definedName name="Excel_BuiltIn_Print_Area_1_1_1_1_3_1">#REF!</definedName>
    <definedName name="Excel_BuiltIn_Print_Area_1_1_1_1_41">#REF!</definedName>
    <definedName name="Excel_BuiltIn_Print_Area_1_1_1_1_5">#REF!</definedName>
    <definedName name="Excel_BuiltIn_Print_Area_1_1_1_21">#REF!</definedName>
    <definedName name="Excel_BuiltIn_Print_Area_1_1_1_2_1">#REF!</definedName>
    <definedName name="Excel_BuiltIn_Print_Area_1_1_1_2_1_1">#REF!</definedName>
    <definedName name="Excel_BuiltIn_Print_Area_1_1_1_31">#REF!</definedName>
    <definedName name="Excel_BuiltIn_Print_Area_1_1_1_3_1">#REF!</definedName>
    <definedName name="Excel_BuiltIn_Print_Area_1_1_1_41">#REF!</definedName>
    <definedName name="Excel_BuiltIn_Print_Area_1_1_1_4_1">#REF!</definedName>
    <definedName name="Excel_BuiltIn_Print_Area_1_1_1_5">#REF!</definedName>
    <definedName name="Excel_BuiltIn_Print_Area_1_1_1_5_1">#REF!</definedName>
    <definedName name="Excel_BuiltIn_Print_Area_1_1_101">#REF!</definedName>
    <definedName name="Excel_BuiltIn_Print_Area_1_1_11">#REF!</definedName>
    <definedName name="Excel_BuiltIn_Print_Area_1_1_11_2">#REF!</definedName>
    <definedName name="Excel_BuiltIn_Print_Area_1_1_12_14">#REF!</definedName>
    <definedName name="Excel_BuiltIn_Print_Area_1_1_12_15">#REF!</definedName>
    <definedName name="Excel_BuiltIn_Print_Area_1_1_122">#REF!</definedName>
    <definedName name="Excel_BuiltIn_Print_Area_1_1_12_1">#REF!</definedName>
    <definedName name="Excel_BuiltIn_Print_Area_1_1_12_2">#REF!</definedName>
    <definedName name="Excel_BuiltIn_Print_Area_1_1_12_3">#REF!</definedName>
    <definedName name="Excel_BuiltIn_Print_Area_1_1_12_4">#REF!</definedName>
    <definedName name="Excel_BuiltIn_Print_Area_1_1_12_5">#REF!</definedName>
    <definedName name="Excel_BuiltIn_Print_Area_1_1_21">#REF!</definedName>
    <definedName name="Excel_BuiltIn_Print_Area_1_1_2_1">#REF!</definedName>
    <definedName name="Excel_BuiltIn_Print_Area_1_1_31">#REF!</definedName>
    <definedName name="Excel_BuiltIn_Print_Area_1_1_41">#REF!</definedName>
    <definedName name="Excel_BuiltIn_Print_Area_1_1_5">#REF!</definedName>
    <definedName name="Excel_BuiltIn_Print_Area_1_1_9">#REF!</definedName>
    <definedName name="Excel_BuiltIn_Print_Area_1_1_9_1">#REF!</definedName>
    <definedName name="Excel_BuiltIn_Print_Area_1_1_9_11">#REF!</definedName>
    <definedName name="Excel_BuiltIn_Print_Area_1_10">#REF!</definedName>
    <definedName name="Excel_BuiltIn_Print_Area_1_11">#REF!</definedName>
    <definedName name="Excel_BuiltIn_Print_Area_1_11_2">#REF!</definedName>
    <definedName name="Excel_BuiltIn_Print_Area_1_2">#REF!</definedName>
    <definedName name="Excel_BuiltIn_Print_Area_1_3">#REF!</definedName>
    <definedName name="Excel_BuiltIn_Print_Area_1_4">#REF!</definedName>
    <definedName name="Excel_BuiltIn_Print_Area_1_5">#REF!</definedName>
    <definedName name="Excel_BuiltIn_Print_Area_3">"$#HIV!.$A$1:$L$17"</definedName>
    <definedName name="Excel_BuiltIn_Print_Titles_1">#REF!</definedName>
    <definedName name="Excel_BuiltIn_Print_Titles_1_1">#REF!</definedName>
    <definedName name="Excel_BuiltIn_Print_Titles_1_11">#REF!</definedName>
    <definedName name="Excel_BuiltIn_Print_Titles_1_1_9">#REF!</definedName>
    <definedName name="Excel_BuiltIn_Print_Titles_1_9">#REF!</definedName>
    <definedName name="fkeres_10">"$#HIV!.$A$2:$H$93"</definedName>
    <definedName name="fkeres_12">#REF!</definedName>
    <definedName name="fkeres_13">#REF!</definedName>
    <definedName name="fkeres_14">#REF!</definedName>
    <definedName name="fkeres_15">#REF!</definedName>
    <definedName name="fkeres_2">"$#HIV!.$A$2:$H$93"</definedName>
    <definedName name="fkeres_4">"$#HIV!.$A$2:$H$93"</definedName>
    <definedName name="fkeres_1">"$#HIV!.$A$2:$H$93"</definedName>
    <definedName name="fkeres_3">"$#HIV!.$A$2:$H$93"</definedName>
    <definedName name="fkeres">#REF!</definedName>
    <definedName name="fkeres_11">#REF!</definedName>
    <definedName name="fkeres_11">#REF!</definedName>
    <definedName name="fkeres_11_2">#REF!</definedName>
    <definedName name="fkeres_12_14">#REF!</definedName>
    <definedName name="fkeres_12_15">#REF!</definedName>
    <definedName name="fkeres_121">#REF!</definedName>
    <definedName name="fkeres_12_1">#REF!</definedName>
    <definedName name="fkeres_12_2">#REF!</definedName>
    <definedName name="fkeres_12_3">#REF!</definedName>
    <definedName name="fkeres_12_4">#REF!</definedName>
    <definedName name="fkeres_12_5">#REF!</definedName>
    <definedName name="fkeres_2_10">"$#HIV!.$A$3:$A$29"</definedName>
    <definedName name="fkeres_2_12">#REF!</definedName>
    <definedName name="fkeres_2_13">#REF!</definedName>
    <definedName name="fkeres_2_14">#REF!</definedName>
    <definedName name="fkeres_2_15">#REF!</definedName>
    <definedName name="fkeres_2_2">"$#HIV!.$A$3:$A$29"</definedName>
    <definedName name="fkeres_2_4">"$#HIV!.$A$3:$A$29"</definedName>
    <definedName name="fkeres_2_1">"$#HIV!.$A$3:$A$29"</definedName>
    <definedName name="fkeres_2_3">"$#HIV!.$A$3:$A$29"</definedName>
    <definedName name="fkeres_21">#REF!</definedName>
    <definedName name="fkeres_2_11">#REF!</definedName>
    <definedName name="fkeres_2_1_1">#REF!</definedName>
    <definedName name="fkeres_2_11">#REF!</definedName>
    <definedName name="fkeres_2_11_2">#REF!</definedName>
    <definedName name="fkeres_2_12_14">#REF!</definedName>
    <definedName name="fkeres_2_12_15">#REF!</definedName>
    <definedName name="fkeres_2_121">#REF!</definedName>
    <definedName name="fkeres_2_12_1">#REF!</definedName>
    <definedName name="fkeres_2_12_2">#REF!</definedName>
    <definedName name="fkeres_2_12_3">#REF!</definedName>
    <definedName name="fkeres_2_12_4">#REF!</definedName>
    <definedName name="fkeres_2_12_5">#REF!</definedName>
    <definedName name="fkeres_2_21">#REF!</definedName>
    <definedName name="fkeres_2_31">#REF!</definedName>
    <definedName name="fkeres_2_41">#REF!</definedName>
    <definedName name="fkeres_2_5">#REF!</definedName>
    <definedName name="fkeres_2_9">#REF!</definedName>
    <definedName name="fkeres_20_10">"$#HIV!.$A$2:$H$93"</definedName>
    <definedName name="fkeres_20_12">#REF!</definedName>
    <definedName name="fkeres_20_13">#REF!</definedName>
    <definedName name="fkeres_20_14">#REF!</definedName>
    <definedName name="fkeres_20_15">#REF!</definedName>
    <definedName name="fkeres_20_2">"$#HIV!.$A$2:$H$93"</definedName>
    <definedName name="fkeres_20_4">"$#HIV!.$A$2:$H$93"</definedName>
    <definedName name="fkeres_20_1">"$#HIV!.$A$2:$H$93"</definedName>
    <definedName name="fkeres_20_3">"$#HIV!.$A$2:$H$93"</definedName>
    <definedName name="fkeres_20">#REF!</definedName>
    <definedName name="fkeres_20_11">#REF!</definedName>
    <definedName name="fkeres_20_11">#REF!</definedName>
    <definedName name="fkeres_20_11_2">#REF!</definedName>
    <definedName name="fkeres_20_12_14">#REF!</definedName>
    <definedName name="fkeres_20_12_15">#REF!</definedName>
    <definedName name="fkeres_20_121">#REF!</definedName>
    <definedName name="fkeres_20_12_1">#REF!</definedName>
    <definedName name="fkeres_20_12_2">#REF!</definedName>
    <definedName name="fkeres_20_12_3">#REF!</definedName>
    <definedName name="fkeres_20_12_4">#REF!</definedName>
    <definedName name="fkeres_20_12_5">#REF!</definedName>
    <definedName name="fkeres_20_21">#REF!</definedName>
    <definedName name="fkeres_20_31">#REF!</definedName>
    <definedName name="fkeres_20_41">#REF!</definedName>
    <definedName name="fkeres_20_5">#REF!</definedName>
    <definedName name="fkeres_20_9">#REF!</definedName>
    <definedName name="fkeres_31">#REF!</definedName>
    <definedName name="fkeres_41">#REF!</definedName>
    <definedName name="fkeres_5">#REF!</definedName>
    <definedName name="fkeres_9">#REF!</definedName>
    <definedName name="FKERES_BLOKK_10">"$#HIV!.$A$2:$O$60"</definedName>
    <definedName name="FKERES_BLOKK_12">#REF!</definedName>
    <definedName name="FKERES_BLOKK_13">#REF!</definedName>
    <definedName name="FKERES_BLOKK_14">#REF!</definedName>
    <definedName name="FKERES_BLOKK_15">#REF!</definedName>
    <definedName name="FKERES_BLOKK_2">"$#HIV!.$A$2:$O$60"</definedName>
    <definedName name="FKERES_BLOKK_4">"$#HIV!.$A$2:$O$60"</definedName>
    <definedName name="FKERES_BLOKK_1">"$#HIV!.$A$2:$O$60"</definedName>
    <definedName name="FKERES_BLOKK_3">"$#HIV!.$A$2:$O$60"</definedName>
    <definedName name="FKERES_BLOKK">#REF!</definedName>
    <definedName name="FKERES_BLOKK_11">#REF!</definedName>
    <definedName name="FKERES_BLOKK_11">#REF!</definedName>
    <definedName name="FKERES_BLOKK_11_2">#REF!</definedName>
    <definedName name="FKERES_BLOKK_12_14">#REF!</definedName>
    <definedName name="FKERES_BLOKK_12_15">#REF!</definedName>
    <definedName name="FKERES_BLOKK_121">#REF!</definedName>
    <definedName name="FKERES_BLOKK_12_1">#REF!</definedName>
    <definedName name="FKERES_BLOKK_12_2">#REF!</definedName>
    <definedName name="FKERES_BLOKK_12_3">#REF!</definedName>
    <definedName name="FKERES_BLOKK_12_4">#REF!</definedName>
    <definedName name="FKERES_BLOKK_12_5">#REF!</definedName>
    <definedName name="FKERES_BLOKK_15_10">"$#HIV!.$A$2:$O$60"</definedName>
    <definedName name="FKERES_BLOKK_15_12">#REF!</definedName>
    <definedName name="FKERES_BLOKK_15_13">#REF!</definedName>
    <definedName name="FKERES_BLOKK_15_14">#REF!</definedName>
    <definedName name="FKERES_BLOKK_15_15">#REF!</definedName>
    <definedName name="FKERES_BLOKK_15_2">"$#HIV!.$A$2:$O$60"</definedName>
    <definedName name="FKERES_BLOKK_15_4">"$#HIV!.$A$2:$O$60"</definedName>
    <definedName name="FKERES_BLOKK_15_1">"$#HIV!.$A$2:$O$60"</definedName>
    <definedName name="FKERES_BLOKK_15_3">"$#HIV!.$A$2:$O$60"</definedName>
    <definedName name="FKERES_BLOKK_151">#REF!</definedName>
    <definedName name="FKERES_BLOKK_15_11">#REF!</definedName>
    <definedName name="FKERES_BLOKK_15_11">#REF!</definedName>
    <definedName name="FKERES_BLOKK_15_11_2">#REF!</definedName>
    <definedName name="FKERES_BLOKK_15_12_14">#REF!</definedName>
    <definedName name="FKERES_BLOKK_15_12_15">#REF!</definedName>
    <definedName name="FKERES_BLOKK_15_121">#REF!</definedName>
    <definedName name="FKERES_BLOKK_15_12_1">#REF!</definedName>
    <definedName name="FKERES_BLOKK_15_12_2">#REF!</definedName>
    <definedName name="FKERES_BLOKK_15_12_3">#REF!</definedName>
    <definedName name="FKERES_BLOKK_15_12_4">#REF!</definedName>
    <definedName name="FKERES_BLOKK_15_12_5">#REF!</definedName>
    <definedName name="FKERES_BLOKK_15_21">#REF!</definedName>
    <definedName name="FKERES_BLOKK_15_31">#REF!</definedName>
    <definedName name="FKERES_BLOKK_15_41">#REF!</definedName>
    <definedName name="FKERES_BLOKK_15_5">#REF!</definedName>
    <definedName name="FKERES_BLOKK_15_9">#REF!</definedName>
    <definedName name="FKERES_BLOKK_2_10">"$#HIV!.$A$3:$D$9"</definedName>
    <definedName name="FKERES_BLOKK_2_12">#REF!</definedName>
    <definedName name="FKERES_BLOKK_2_13">#REF!</definedName>
    <definedName name="FKERES_BLOKK_2_14">#REF!</definedName>
    <definedName name="FKERES_BLOKK_2_15">#REF!</definedName>
    <definedName name="FKERES_BLOKK_2_2">"$#HIV!.$A$3:$D$9"</definedName>
    <definedName name="FKERES_BLOKK_2_4">"$#HIV!.$A$3:$D$9"</definedName>
    <definedName name="FKERES_BLOKK_2_1">"$#HIV!.$A$3:$D$9"</definedName>
    <definedName name="FKERES_BLOKK_2_3">"$#HIV!.$A$3:$D$9"</definedName>
    <definedName name="FKERES_BLOKK_21">#REF!</definedName>
    <definedName name="FKERES_BLOKK_2_11">#REF!</definedName>
    <definedName name="FKERES_BLOKK_2_1_1">#REF!</definedName>
    <definedName name="FKERES_BLOKK_2_11">#REF!</definedName>
    <definedName name="FKERES_BLOKK_2_11_2">#REF!</definedName>
    <definedName name="FKERES_BLOKK_2_21">#REF!</definedName>
    <definedName name="FKERES_BLOKK_2_31">#REF!</definedName>
    <definedName name="FKERES_BLOKK_2_41">#REF!</definedName>
    <definedName name="FKERES_BLOKK_2_5">#REF!</definedName>
    <definedName name="FKERES_BLOKK_20_10">"$#HIV!.$A$2:$O$60"</definedName>
    <definedName name="FKERES_BLOKK_20_12">#REF!</definedName>
    <definedName name="FKERES_BLOKK_20_13">#REF!</definedName>
    <definedName name="FKERES_BLOKK_20_14">#REF!</definedName>
    <definedName name="FKERES_BLOKK_20_15">#REF!</definedName>
    <definedName name="FKERES_BLOKK_20_2">"$#HIV!.$A$2:$O$60"</definedName>
    <definedName name="FKERES_BLOKK_20_4">"$#HIV!.$A$2:$O$60"</definedName>
    <definedName name="FKERES_BLOKK_20_1">"$#HIV!.$A$2:$O$60"</definedName>
    <definedName name="FKERES_BLOKK_20_3">"$#HIV!.$A$2:$O$60"</definedName>
    <definedName name="FKERES_BLOKK_20">#REF!</definedName>
    <definedName name="FKERES_BLOKK_20_11">#REF!</definedName>
    <definedName name="FKERES_BLOKK_20_11">#REF!</definedName>
    <definedName name="FKERES_BLOKK_20_11_2">#REF!</definedName>
    <definedName name="FKERES_BLOKK_20_12_14">#REF!</definedName>
    <definedName name="FKERES_BLOKK_20_12_15">#REF!</definedName>
    <definedName name="FKERES_BLOKK_20_121">#REF!</definedName>
    <definedName name="FKERES_BLOKK_20_12_1">#REF!</definedName>
    <definedName name="FKERES_BLOKK_20_12_2">#REF!</definedName>
    <definedName name="FKERES_BLOKK_20_12_3">#REF!</definedName>
    <definedName name="FKERES_BLOKK_20_12_4">#REF!</definedName>
    <definedName name="FKERES_BLOKK_20_12_5">#REF!</definedName>
    <definedName name="FKERES_BLOKK_20_21">#REF!</definedName>
    <definedName name="FKERES_BLOKK_20_31">#REF!</definedName>
    <definedName name="FKERES_BLOKK_20_41">#REF!</definedName>
    <definedName name="FKERES_BLOKK_20_5">#REF!</definedName>
    <definedName name="FKERES_BLOKK_20_9">#REF!</definedName>
    <definedName name="FKERES_BLOKK_24_10">"$#HIV!.$A$2:$O$60"</definedName>
    <definedName name="FKERES_BLOKK_24_12">#REF!</definedName>
    <definedName name="FKERES_BLOKK_24_13">#REF!</definedName>
    <definedName name="FKERES_BLOKK_24_14">#REF!</definedName>
    <definedName name="FKERES_BLOKK_24_15">#REF!</definedName>
    <definedName name="FKERES_BLOKK_24_2">"$#HIV!.$A$2:$O$60"</definedName>
    <definedName name="FKERES_BLOKK_24_4">"$#HIV!.$A$2:$O$60"</definedName>
    <definedName name="FKERES_BLOKK_24_1">"$#HIV!.$A$2:$O$60"</definedName>
    <definedName name="FKERES_BLOKK_24_3">"$#HIV!.$A$2:$O$60"</definedName>
    <definedName name="FKERES_BLOKK_24">#REF!</definedName>
    <definedName name="FKERES_BLOKK_24_11">#REF!</definedName>
    <definedName name="FKERES_BLOKK_24_11">#REF!</definedName>
    <definedName name="FKERES_BLOKK_24_11_2">#REF!</definedName>
    <definedName name="FKERES_BLOKK_24_12_14">#REF!</definedName>
    <definedName name="FKERES_BLOKK_24_12_15">#REF!</definedName>
    <definedName name="FKERES_BLOKK_24_121">#REF!</definedName>
    <definedName name="FKERES_BLOKK_24_12_1">#REF!</definedName>
    <definedName name="FKERES_BLOKK_24_12_2">#REF!</definedName>
    <definedName name="FKERES_BLOKK_24_12_3">#REF!</definedName>
    <definedName name="FKERES_BLOKK_24_12_4">#REF!</definedName>
    <definedName name="FKERES_BLOKK_24_12_5">#REF!</definedName>
    <definedName name="FKERES_BLOKK_24_21">#REF!</definedName>
    <definedName name="FKERES_BLOKK_24_31">#REF!</definedName>
    <definedName name="FKERES_BLOKK_24_41">#REF!</definedName>
    <definedName name="FKERES_BLOKK_24_5">#REF!</definedName>
    <definedName name="FKERES_BLOKK_24_9">#REF!</definedName>
    <definedName name="FKERES_BLOKK_28_10">"$#HIV!.$A$2:$N$94"</definedName>
    <definedName name="FKERES_BLOKK_28_12">#REF!</definedName>
    <definedName name="FKERES_BLOKK_28_13">#REF!</definedName>
    <definedName name="FKERES_BLOKK_28_14">#REF!</definedName>
    <definedName name="FKERES_BLOKK_28_15">#REF!</definedName>
    <definedName name="FKERES_BLOKK_28_2">"$#HIV!.$A$2:$N$94"</definedName>
    <definedName name="FKERES_BLOKK_28_4">"$#HIV!.$A$2:$N$94"</definedName>
    <definedName name="FKERES_BLOKK_28_1">"$#HIV!.$A$2:$N$94"</definedName>
    <definedName name="FKERES_BLOKK_28_3">"$#HIV!.$A$2:$N$94"</definedName>
    <definedName name="FKERES_BLOKK_28">#REF!</definedName>
    <definedName name="FKERES_BLOKK_28_11">#REF!</definedName>
    <definedName name="FKERES_BLOKK_28_11">#REF!</definedName>
    <definedName name="FKERES_BLOKK_28_11_2">#REF!</definedName>
    <definedName name="FKERES_BLOKK_28_12_14">#REF!</definedName>
    <definedName name="FKERES_BLOKK_28_12_15">#REF!</definedName>
    <definedName name="FKERES_BLOKK_28_121">#REF!</definedName>
    <definedName name="FKERES_BLOKK_28_12_1">#REF!</definedName>
    <definedName name="FKERES_BLOKK_28_12_2">#REF!</definedName>
    <definedName name="FKERES_BLOKK_28_12_3">#REF!</definedName>
    <definedName name="FKERES_BLOKK_28_12_4">#REF!</definedName>
    <definedName name="FKERES_BLOKK_28_12_5">#REF!</definedName>
    <definedName name="FKERES_BLOKK_28_21">#REF!</definedName>
    <definedName name="FKERES_BLOKK_28_31">#REF!</definedName>
    <definedName name="FKERES_BLOKK_28_41">#REF!</definedName>
    <definedName name="FKERES_BLOKK_28_5">#REF!</definedName>
    <definedName name="FKERES_BLOKK_28_9">#REF!</definedName>
    <definedName name="FKERES_BLOKK_31">#REF!</definedName>
    <definedName name="FKERES_BLOKK_31_10">"$#HIV!.$A$2:$O$88"</definedName>
    <definedName name="FKERES_BLOKK_31_12">#REF!</definedName>
    <definedName name="FKERES_BLOKK_31_13">#REF!</definedName>
    <definedName name="FKERES_BLOKK_31_14">#REF!</definedName>
    <definedName name="FKERES_BLOKK_31_15">#REF!</definedName>
    <definedName name="FKERES_BLOKK_31_2">"$#HIV!.$A$2:$O$88"</definedName>
    <definedName name="FKERES_BLOKK_31_4">"$#HIV!.$A$2:$O$88"</definedName>
    <definedName name="FKERES_BLOKK_31_1">"$#HIV!.$A$2:$O$88"</definedName>
    <definedName name="FKERES_BLOKK_31_3">"$#HIV!.$A$2:$O$88"</definedName>
    <definedName name="FKERES_BLOKK_31">#REF!</definedName>
    <definedName name="FKERES_BLOKK_31_11">#REF!</definedName>
    <definedName name="FKERES_BLOKK_31_11">#REF!</definedName>
    <definedName name="FKERES_BLOKK_31_11_2">#REF!</definedName>
    <definedName name="FKERES_BLOKK_31_12_14">#REF!</definedName>
    <definedName name="FKERES_BLOKK_31_12_15">#REF!</definedName>
    <definedName name="FKERES_BLOKK_31_121">#REF!</definedName>
    <definedName name="FKERES_BLOKK_31_12_1">#REF!</definedName>
    <definedName name="FKERES_BLOKK_31_12_2">#REF!</definedName>
    <definedName name="FKERES_BLOKK_31_12_3">#REF!</definedName>
    <definedName name="FKERES_BLOKK_31_12_4">#REF!</definedName>
    <definedName name="FKERES_BLOKK_31_12_5">#REF!</definedName>
    <definedName name="FKERES_BLOKK_31_21">#REF!</definedName>
    <definedName name="FKERES_BLOKK_31_31">#REF!</definedName>
    <definedName name="FKERES_BLOKK_31_41">#REF!</definedName>
    <definedName name="FKERES_BLOKK_31_5">#REF!</definedName>
    <definedName name="FKERES_BLOKK_31_9">#REF!</definedName>
    <definedName name="FKERES_BLOKK_41">#REF!</definedName>
    <definedName name="FKERES_BLOKK_5">#REF!</definedName>
    <definedName name="FKERES_BLOKK_9">#REF!</definedName>
    <definedName name="FKERES_II_10">"$#HIV!.$A$2:$O$49"</definedName>
    <definedName name="FKERES_II_12">#REF!</definedName>
    <definedName name="FKERES_II_13">#REF!</definedName>
    <definedName name="FKERES_II_14">#REF!</definedName>
    <definedName name="FKERES_II_15">#REF!</definedName>
    <definedName name="FKERES_II_2">"$#HIV!.$A$2:$O$49"</definedName>
    <definedName name="FKERES_II_4">"$#HIV!.$A$2:$O$49"</definedName>
    <definedName name="FKERES_II_1">"$#HIV!.$A$2:$O$49"</definedName>
    <definedName name="FKERES_II_3">"$#HIV!.$A$2:$O$49"</definedName>
    <definedName name="FKERES_II">#REF!</definedName>
    <definedName name="FKERES_II_11">#REF!</definedName>
    <definedName name="FKERES_II_11">#REF!</definedName>
    <definedName name="FKERES_II_11_2">#REF!</definedName>
    <definedName name="FKERES_II_12_14">#REF!</definedName>
    <definedName name="FKERES_II_12_15">#REF!</definedName>
    <definedName name="FKERES_II_121">#REF!</definedName>
    <definedName name="FKERES_II_12_1">#REF!</definedName>
    <definedName name="FKERES_II_12_2">#REF!</definedName>
    <definedName name="FKERES_II_12_3">#REF!</definedName>
    <definedName name="FKERES_II_12_4">#REF!</definedName>
    <definedName name="FKERES_II_12_5">#REF!</definedName>
    <definedName name="FKERES_II_15_10">"$#HIV!.$A$2:$O$49"</definedName>
    <definedName name="FKERES_II_15_12">#REF!</definedName>
    <definedName name="FKERES_II_15_13">#REF!</definedName>
    <definedName name="FKERES_II_15_14">#REF!</definedName>
    <definedName name="FKERES_II_15_15">#REF!</definedName>
    <definedName name="FKERES_II_15_2">"$#HIV!.$A$2:$O$49"</definedName>
    <definedName name="FKERES_II_15_4">"$#HIV!.$A$2:$O$49"</definedName>
    <definedName name="FKERES_II_15_1">"$#HIV!.$A$2:$O$49"</definedName>
    <definedName name="FKERES_II_15_3">"$#HIV!.$A$2:$O$49"</definedName>
    <definedName name="FKERES_II_151">#REF!</definedName>
    <definedName name="FKERES_II_15_11">#REF!</definedName>
    <definedName name="FKERES_II_15_11">#REF!</definedName>
    <definedName name="FKERES_II_15_11_2">#REF!</definedName>
    <definedName name="FKERES_II_15_12_14">#REF!</definedName>
    <definedName name="FKERES_II_15_12_15">#REF!</definedName>
    <definedName name="FKERES_II_15_121">#REF!</definedName>
    <definedName name="FKERES_II_15_12_1">#REF!</definedName>
    <definedName name="FKERES_II_15_12_2">#REF!</definedName>
    <definedName name="FKERES_II_15_12_3">#REF!</definedName>
    <definedName name="FKERES_II_15_12_4">#REF!</definedName>
    <definedName name="FKERES_II_15_12_5">#REF!</definedName>
    <definedName name="FKERES_II_15_21">#REF!</definedName>
    <definedName name="FKERES_II_15_31">#REF!</definedName>
    <definedName name="FKERES_II_15_41">#REF!</definedName>
    <definedName name="FKERES_II_15_5">#REF!</definedName>
    <definedName name="FKERES_II_15_9">#REF!</definedName>
    <definedName name="FKERES_II_2_10">"$#HIV!.$A$3:$D$3"</definedName>
    <definedName name="FKERES_II_2_12">#REF!</definedName>
    <definedName name="FKERES_II_2_13">#REF!</definedName>
    <definedName name="FKERES_II_2_14">#REF!</definedName>
    <definedName name="FKERES_II_2_15">#REF!</definedName>
    <definedName name="FKERES_II_2_2">"$#HIV!.$A$3:$D$3"</definedName>
    <definedName name="FKERES_II_2_4">"$#HIV!.$A$3:$D$3"</definedName>
    <definedName name="FKERES_II_2_1">"$#HIV!.$A$3:$D$3"</definedName>
    <definedName name="FKERES_II_2_3">"$#HIV!.$A$3:$D$3"</definedName>
    <definedName name="FKERES_II_21">#REF!</definedName>
    <definedName name="FKERES_II_2_11">#REF!</definedName>
    <definedName name="FKERES_II_2_1_1">#REF!</definedName>
    <definedName name="FKERES_II_2_11">#REF!</definedName>
    <definedName name="FKERES_II_2_11_2">#REF!</definedName>
    <definedName name="FKERES_II_2_21">#REF!</definedName>
    <definedName name="FKERES_II_2_31">#REF!</definedName>
    <definedName name="FKERES_II_2_41">#REF!</definedName>
    <definedName name="FKERES_II_2_5">#REF!</definedName>
    <definedName name="FKERES_II_20_10">"$#HIV!.$A$2:$O$49"</definedName>
    <definedName name="FKERES_II_20_12">#REF!</definedName>
    <definedName name="FKERES_II_20_13">#REF!</definedName>
    <definedName name="FKERES_II_20_14">#REF!</definedName>
    <definedName name="FKERES_II_20_15">#REF!</definedName>
    <definedName name="FKERES_II_20_2">"$#HIV!.$A$2:$O$49"</definedName>
    <definedName name="FKERES_II_20_4">"$#HIV!.$A$2:$O$49"</definedName>
    <definedName name="FKERES_II_20_1">"$#HIV!.$A$2:$O$49"</definedName>
    <definedName name="FKERES_II_20_3">"$#HIV!.$A$2:$O$49"</definedName>
    <definedName name="FKERES_II_20">#REF!</definedName>
    <definedName name="FKERES_II_20_11">#REF!</definedName>
    <definedName name="FKERES_II_20_11">#REF!</definedName>
    <definedName name="FKERES_II_20_11_2">#REF!</definedName>
    <definedName name="FKERES_II_20_12_14">#REF!</definedName>
    <definedName name="FKERES_II_20_12_15">#REF!</definedName>
    <definedName name="FKERES_II_20_121">#REF!</definedName>
    <definedName name="FKERES_II_20_12_1">#REF!</definedName>
    <definedName name="FKERES_II_20_12_2">#REF!</definedName>
    <definedName name="FKERES_II_20_12_3">#REF!</definedName>
    <definedName name="FKERES_II_20_12_4">#REF!</definedName>
    <definedName name="FKERES_II_20_12_5">#REF!</definedName>
    <definedName name="FKERES_II_20_21">#REF!</definedName>
    <definedName name="FKERES_II_20_31">#REF!</definedName>
    <definedName name="FKERES_II_20_41">#REF!</definedName>
    <definedName name="FKERES_II_20_5">#REF!</definedName>
    <definedName name="FKERES_II_20_9">#REF!</definedName>
    <definedName name="FKERES_II_24_10">"$#HIV!.$A$2:$O$49"</definedName>
    <definedName name="FKERES_II_24_12">#REF!</definedName>
    <definedName name="FKERES_II_24_13">#REF!</definedName>
    <definedName name="FKERES_II_24_14">#REF!</definedName>
    <definedName name="FKERES_II_24_15">#REF!</definedName>
    <definedName name="FKERES_II_24_2">"$#HIV!.$A$2:$O$49"</definedName>
    <definedName name="FKERES_II_24_4">"$#HIV!.$A$2:$O$49"</definedName>
    <definedName name="FKERES_II_24_1">"$#HIV!.$A$2:$O$49"</definedName>
    <definedName name="FKERES_II_24_3">"$#HIV!.$A$2:$O$49"</definedName>
    <definedName name="FKERES_II_24">#REF!</definedName>
    <definedName name="FKERES_II_24_11">#REF!</definedName>
    <definedName name="FKERES_II_24_11">#REF!</definedName>
    <definedName name="FKERES_II_24_11_2">#REF!</definedName>
    <definedName name="FKERES_II_24_12_14">#REF!</definedName>
    <definedName name="FKERES_II_24_12_15">#REF!</definedName>
    <definedName name="FKERES_II_24_121">#REF!</definedName>
    <definedName name="FKERES_II_24_12_1">#REF!</definedName>
    <definedName name="FKERES_II_24_12_2">#REF!</definedName>
    <definedName name="FKERES_II_24_12_3">#REF!</definedName>
    <definedName name="FKERES_II_24_12_4">#REF!</definedName>
    <definedName name="FKERES_II_24_12_5">#REF!</definedName>
    <definedName name="FKERES_II_24_21">#REF!</definedName>
    <definedName name="FKERES_II_24_31">#REF!</definedName>
    <definedName name="FKERES_II_24_41">#REF!</definedName>
    <definedName name="FKERES_II_24_5">#REF!</definedName>
    <definedName name="FKERES_II_24_9">#REF!</definedName>
    <definedName name="FKERES_II_28_10">"$#HIV!.$A$2:$N$52"</definedName>
    <definedName name="FKERES_II_28_12">#REF!</definedName>
    <definedName name="FKERES_II_28_13">#REF!</definedName>
    <definedName name="FKERES_II_28_14">#REF!</definedName>
    <definedName name="FKERES_II_28_15">#REF!</definedName>
    <definedName name="FKERES_II_28_2">"$#HIV!.$A$2:$N$52"</definedName>
    <definedName name="FKERES_II_28_4">"$#HIV!.$A$2:$N$52"</definedName>
    <definedName name="FKERES_II_28_1">"$#HIV!.$A$2:$N$52"</definedName>
    <definedName name="FKERES_II_28_3">"$#HIV!.$A$2:$N$52"</definedName>
    <definedName name="FKERES_II_28">#REF!</definedName>
    <definedName name="FKERES_II_28_11">#REF!</definedName>
    <definedName name="FKERES_II_28_11">#REF!</definedName>
    <definedName name="FKERES_II_28_11_2">#REF!</definedName>
    <definedName name="FKERES_II_28_12_14">#REF!</definedName>
    <definedName name="FKERES_II_28_12_15">#REF!</definedName>
    <definedName name="FKERES_II_28_121">#REF!</definedName>
    <definedName name="FKERES_II_28_12_1">#REF!</definedName>
    <definedName name="FKERES_II_28_12_2">#REF!</definedName>
    <definedName name="FKERES_II_28_12_3">#REF!</definedName>
    <definedName name="FKERES_II_28_12_4">#REF!</definedName>
    <definedName name="FKERES_II_28_12_5">#REF!</definedName>
    <definedName name="FKERES_II_28_21">#REF!</definedName>
    <definedName name="FKERES_II_28_31">#REF!</definedName>
    <definedName name="FKERES_II_28_41">#REF!</definedName>
    <definedName name="FKERES_II_28_5">#REF!</definedName>
    <definedName name="FKERES_II_28_9">#REF!</definedName>
    <definedName name="FKERES_II_31">#REF!</definedName>
    <definedName name="FKERES_II_31_10">"$#HIV!.$A$2:$O$53"</definedName>
    <definedName name="FKERES_II_31_12">#REF!</definedName>
    <definedName name="FKERES_II_31_13">#REF!</definedName>
    <definedName name="FKERES_II_31_14">#REF!</definedName>
    <definedName name="FKERES_II_31_15">#REF!</definedName>
    <definedName name="FKERES_II_31_2">"$#HIV!.$A$2:$O$53"</definedName>
    <definedName name="FKERES_II_31_4">"$#HIV!.$A$2:$O$53"</definedName>
    <definedName name="FKERES_II_31_1">"$#HIV!.$A$2:$O$53"</definedName>
    <definedName name="FKERES_II_31_3">"$#HIV!.$A$2:$O$53"</definedName>
    <definedName name="FKERES_II_31">#REF!</definedName>
    <definedName name="FKERES_II_31_11">#REF!</definedName>
    <definedName name="FKERES_II_31_11">#REF!</definedName>
    <definedName name="FKERES_II_31_11_2">#REF!</definedName>
    <definedName name="FKERES_II_31_12_14">#REF!</definedName>
    <definedName name="FKERES_II_31_12_15">#REF!</definedName>
    <definedName name="FKERES_II_31_121">#REF!</definedName>
    <definedName name="FKERES_II_31_12_1">#REF!</definedName>
    <definedName name="FKERES_II_31_12_2">#REF!</definedName>
    <definedName name="FKERES_II_31_12_3">#REF!</definedName>
    <definedName name="FKERES_II_31_12_4">#REF!</definedName>
    <definedName name="FKERES_II_31_12_5">#REF!</definedName>
    <definedName name="FKERES_II_31_21">#REF!</definedName>
    <definedName name="FKERES_II_31_31">#REF!</definedName>
    <definedName name="FKERES_II_31_41">#REF!</definedName>
    <definedName name="FKERES_II_31_5">#REF!</definedName>
    <definedName name="FKERES_II_31_9">#REF!</definedName>
    <definedName name="FKERES_II_41">#REF!</definedName>
    <definedName name="FKERES_II_5">#REF!</definedName>
    <definedName name="FKERES_II_9">#REF!</definedName>
    <definedName name="FKERES_III_10">"$#HIV!.$A$2:$J$60"</definedName>
    <definedName name="FKERES_III_12">#REF!</definedName>
    <definedName name="FKERES_III_13">#REF!</definedName>
    <definedName name="FKERES_III_14">#REF!</definedName>
    <definedName name="FKERES_III_15">#REF!</definedName>
    <definedName name="FKERES_III_2">"$#HIV!.$A$2:$J$60"</definedName>
    <definedName name="FKERES_III_4">"$#HIV!.$A$2:$J$60"</definedName>
    <definedName name="FKERES_III_1">"$#HIV!.$A$2:$J$60"</definedName>
    <definedName name="FKERES_III_3">"$#HIV!.$A$2:$J$60"</definedName>
    <definedName name="FKERES_III">#REF!</definedName>
    <definedName name="FKERES_III_11">#REF!</definedName>
    <definedName name="FKERES_III_11">#REF!</definedName>
    <definedName name="FKERES_III_11_2">#REF!</definedName>
    <definedName name="FKERES_III_12_14">#REF!</definedName>
    <definedName name="FKERES_III_12_15">#REF!</definedName>
    <definedName name="FKERES_III_121">#REF!</definedName>
    <definedName name="FKERES_III_12_1">#REF!</definedName>
    <definedName name="FKERES_III_12_2">#REF!</definedName>
    <definedName name="FKERES_III_12_3">#REF!</definedName>
    <definedName name="FKERES_III_12_4">#REF!</definedName>
    <definedName name="FKERES_III_12_5">#REF!</definedName>
    <definedName name="FKERES_III_15_10">"$#HIV!.$A$2:$J$60"</definedName>
    <definedName name="FKERES_III_15_12">#REF!</definedName>
    <definedName name="FKERES_III_15_13">#REF!</definedName>
    <definedName name="FKERES_III_15_14">#REF!</definedName>
    <definedName name="FKERES_III_15_15">#REF!</definedName>
    <definedName name="FKERES_III_15_2">"$#HIV!.$A$2:$J$60"</definedName>
    <definedName name="FKERES_III_15_4">"$#HIV!.$A$2:$J$60"</definedName>
    <definedName name="FKERES_III_15_1">"$#HIV!.$A$2:$J$60"</definedName>
    <definedName name="FKERES_III_15_3">"$#HIV!.$A$2:$J$60"</definedName>
    <definedName name="FKERES_III_151">#REF!</definedName>
    <definedName name="FKERES_III_15_11">#REF!</definedName>
    <definedName name="FKERES_III_15_11">#REF!</definedName>
    <definedName name="FKERES_III_15_11_2">#REF!</definedName>
    <definedName name="FKERES_III_15_12_14">#REF!</definedName>
    <definedName name="FKERES_III_15_12_15">#REF!</definedName>
    <definedName name="FKERES_III_15_121">#REF!</definedName>
    <definedName name="FKERES_III_15_12_1">#REF!</definedName>
    <definedName name="FKERES_III_15_12_2">#REF!</definedName>
    <definedName name="FKERES_III_15_12_3">#REF!</definedName>
    <definedName name="FKERES_III_15_12_4">#REF!</definedName>
    <definedName name="FKERES_III_15_12_5">#REF!</definedName>
    <definedName name="FKERES_III_15_21">#REF!</definedName>
    <definedName name="FKERES_III_15_31">#REF!</definedName>
    <definedName name="FKERES_III_15_41">#REF!</definedName>
    <definedName name="FKERES_III_15_5">#REF!</definedName>
    <definedName name="FKERES_III_15_9">#REF!</definedName>
    <definedName name="FKERES_III_2_10">"$#HIV!.$A$3:$B$9"</definedName>
    <definedName name="FKERES_III_2_12">#REF!</definedName>
    <definedName name="FKERES_III_2_13">#REF!</definedName>
    <definedName name="FKERES_III_2_14">#REF!</definedName>
    <definedName name="FKERES_III_2_15">#REF!</definedName>
    <definedName name="FKERES_III_2_2">"$#HIV!.$A$3:$B$9"</definedName>
    <definedName name="FKERES_III_2_4">"$#HIV!.$A$3:$B$9"</definedName>
    <definedName name="FKERES_III_2_1">"$#HIV!.$A$3:$B$9"</definedName>
    <definedName name="FKERES_III_2_3">"$#HIV!.$A$3:$B$9"</definedName>
    <definedName name="FKERES_III_21">#REF!</definedName>
    <definedName name="FKERES_III_2_11">#REF!</definedName>
    <definedName name="FKERES_III_2_1_1">#REF!</definedName>
    <definedName name="FKERES_III_2_11">#REF!</definedName>
    <definedName name="FKERES_III_2_11_2">#REF!</definedName>
    <definedName name="FKERES_III_2_21">#REF!</definedName>
    <definedName name="FKERES_III_2_31">#REF!</definedName>
    <definedName name="FKERES_III_2_41">#REF!</definedName>
    <definedName name="FKERES_III_2_5">#REF!</definedName>
    <definedName name="FKERES_III_20_10">"$#HIV!.$A$2:$J$60"</definedName>
    <definedName name="FKERES_III_20_12">#REF!</definedName>
    <definedName name="FKERES_III_20_13">#REF!</definedName>
    <definedName name="FKERES_III_20_14">#REF!</definedName>
    <definedName name="FKERES_III_20_15">#REF!</definedName>
    <definedName name="FKERES_III_20_2">"$#HIV!.$A$2:$J$60"</definedName>
    <definedName name="FKERES_III_20_4">"$#HIV!.$A$2:$J$60"</definedName>
    <definedName name="FKERES_III_20_1">"$#HIV!.$A$2:$J$60"</definedName>
    <definedName name="FKERES_III_20_3">"$#HIV!.$A$2:$J$60"</definedName>
    <definedName name="FKERES_III_20">#REF!</definedName>
    <definedName name="FKERES_III_20_11">#REF!</definedName>
    <definedName name="FKERES_III_20_11">#REF!</definedName>
    <definedName name="FKERES_III_20_11_2">#REF!</definedName>
    <definedName name="FKERES_III_20_12_14">#REF!</definedName>
    <definedName name="FKERES_III_20_12_15">#REF!</definedName>
    <definedName name="FKERES_III_20_121">#REF!</definedName>
    <definedName name="FKERES_III_20_12_1">#REF!</definedName>
    <definedName name="FKERES_III_20_12_2">#REF!</definedName>
    <definedName name="FKERES_III_20_12_3">#REF!</definedName>
    <definedName name="FKERES_III_20_12_4">#REF!</definedName>
    <definedName name="FKERES_III_20_12_5">#REF!</definedName>
    <definedName name="FKERES_III_20_21">#REF!</definedName>
    <definedName name="FKERES_III_20_31">#REF!</definedName>
    <definedName name="FKERES_III_20_41">#REF!</definedName>
    <definedName name="FKERES_III_20_5">#REF!</definedName>
    <definedName name="FKERES_III_20_9">#REF!</definedName>
    <definedName name="FKERES_III_24_10">"$#HIV!.$A$2:$J$60"</definedName>
    <definedName name="FKERES_III_24_12">#REF!</definedName>
    <definedName name="FKERES_III_24_13">#REF!</definedName>
    <definedName name="FKERES_III_24_14">#REF!</definedName>
    <definedName name="FKERES_III_24_15">#REF!</definedName>
    <definedName name="FKERES_III_24_2">"$#HIV!.$A$2:$J$60"</definedName>
    <definedName name="FKERES_III_24_4">"$#HIV!.$A$2:$J$60"</definedName>
    <definedName name="FKERES_III_24_1">"$#HIV!.$A$2:$J$60"</definedName>
    <definedName name="FKERES_III_24_3">"$#HIV!.$A$2:$J$60"</definedName>
    <definedName name="FKERES_III_24">#REF!</definedName>
    <definedName name="FKERES_III_24_11">#REF!</definedName>
    <definedName name="FKERES_III_24_11">#REF!</definedName>
    <definedName name="FKERES_III_24_11_2">#REF!</definedName>
    <definedName name="FKERES_III_24_12_14">#REF!</definedName>
    <definedName name="FKERES_III_24_12_15">#REF!</definedName>
    <definedName name="FKERES_III_24_121">#REF!</definedName>
    <definedName name="FKERES_III_24_12_1">#REF!</definedName>
    <definedName name="FKERES_III_24_12_2">#REF!</definedName>
    <definedName name="FKERES_III_24_12_3">#REF!</definedName>
    <definedName name="FKERES_III_24_12_4">#REF!</definedName>
    <definedName name="FKERES_III_24_12_5">#REF!</definedName>
    <definedName name="FKERES_III_24_21">#REF!</definedName>
    <definedName name="FKERES_III_24_31">#REF!</definedName>
    <definedName name="FKERES_III_24_41">#REF!</definedName>
    <definedName name="FKERES_III_24_5">#REF!</definedName>
    <definedName name="FKERES_III_24_9">#REF!</definedName>
    <definedName name="FKERES_III_28_10">"$#HIV!.$A$2:$H$93"</definedName>
    <definedName name="FKERES_III_28_12">#REF!</definedName>
    <definedName name="FKERES_III_28_13">#REF!</definedName>
    <definedName name="FKERES_III_28_14">#REF!</definedName>
    <definedName name="FKERES_III_28_15">#REF!</definedName>
    <definedName name="FKERES_III_28_2">"$#HIV!.$A$2:$H$93"</definedName>
    <definedName name="FKERES_III_28_4">"$#HIV!.$A$2:$H$93"</definedName>
    <definedName name="FKERES_III_28_1">"$#HIV!.$A$2:$H$93"</definedName>
    <definedName name="FKERES_III_28_3">"$#HIV!.$A$2:$H$93"</definedName>
    <definedName name="FKERES_III_28">#REF!</definedName>
    <definedName name="FKERES_III_28_11">#REF!</definedName>
    <definedName name="FKERES_III_28_11">#REF!</definedName>
    <definedName name="FKERES_III_28_11_2">#REF!</definedName>
    <definedName name="FKERES_III_28_12_14">#REF!</definedName>
    <definedName name="FKERES_III_28_12_15">#REF!</definedName>
    <definedName name="FKERES_III_28_121">#REF!</definedName>
    <definedName name="FKERES_III_28_12_1">#REF!</definedName>
    <definedName name="FKERES_III_28_12_2">#REF!</definedName>
    <definedName name="FKERES_III_28_12_3">#REF!</definedName>
    <definedName name="FKERES_III_28_12_4">#REF!</definedName>
    <definedName name="FKERES_III_28_12_5">#REF!</definedName>
    <definedName name="FKERES_III_28_21">#REF!</definedName>
    <definedName name="FKERES_III_28_31">#REF!</definedName>
    <definedName name="FKERES_III_28_41">#REF!</definedName>
    <definedName name="FKERES_III_28_5">#REF!</definedName>
    <definedName name="FKERES_III_28_9">#REF!</definedName>
    <definedName name="FKERES_III_31">#REF!</definedName>
    <definedName name="FKERES_III_31_10">"$#HIV!.$A$2:$J$89"</definedName>
    <definedName name="FKERES_III_31_12">#REF!</definedName>
    <definedName name="FKERES_III_31_13">#REF!</definedName>
    <definedName name="FKERES_III_31_14">#REF!</definedName>
    <definedName name="FKERES_III_31_15">#REF!</definedName>
    <definedName name="FKERES_III_31_2">"$#HIV!.$A$2:$J$89"</definedName>
    <definedName name="FKERES_III_31_4">"$#HIV!.$A$2:$J$89"</definedName>
    <definedName name="FKERES_III_31_1">"$#HIV!.$A$2:$J$89"</definedName>
    <definedName name="FKERES_III_31_3">"$#HIV!.$A$2:$J$89"</definedName>
    <definedName name="FKERES_III_31">#REF!</definedName>
    <definedName name="FKERES_III_31_11">#REF!</definedName>
    <definedName name="FKERES_III_31_11">#REF!</definedName>
    <definedName name="FKERES_III_31_11_2">#REF!</definedName>
    <definedName name="FKERES_III_31_12_14">#REF!</definedName>
    <definedName name="FKERES_III_31_12_15">#REF!</definedName>
    <definedName name="FKERES_III_31_121">#REF!</definedName>
    <definedName name="FKERES_III_31_12_1">#REF!</definedName>
    <definedName name="FKERES_III_31_12_2">#REF!</definedName>
    <definedName name="FKERES_III_31_12_3">#REF!</definedName>
    <definedName name="FKERES_III_31_12_4">#REF!</definedName>
    <definedName name="FKERES_III_31_12_5">#REF!</definedName>
    <definedName name="FKERES_III_31_21">#REF!</definedName>
    <definedName name="FKERES_III_31_31">#REF!</definedName>
    <definedName name="FKERES_III_31_41">#REF!</definedName>
    <definedName name="FKERES_III_31_5">#REF!</definedName>
    <definedName name="FKERES_III_31_9">#REF!</definedName>
    <definedName name="FKERES_III_41">#REF!</definedName>
    <definedName name="FKERES_III_5">#REF!</definedName>
    <definedName name="FKERES_III_9">#REF!</definedName>
    <definedName name="FKERES_IV_10">"$#HIV!.$A$5:$G$52"</definedName>
    <definedName name="FKERES_IV_12">#REF!</definedName>
    <definedName name="FKERES_IV_13">#REF!</definedName>
    <definedName name="FKERES_IV_14">#REF!</definedName>
    <definedName name="FKERES_IV_15">#REF!</definedName>
    <definedName name="FKERES_IV_2">"$#HIV!.$A$5:$G$52"</definedName>
    <definedName name="FKERES_IV_4">"$#HIV!.$A$5:$G$52"</definedName>
    <definedName name="FKERES_IV_1">"$#HIV!.$A$5:$G$52"</definedName>
    <definedName name="FKERES_IV_3">"$#HIV!.$A$5:$G$52"</definedName>
    <definedName name="FKERES_IV">#REF!</definedName>
    <definedName name="FKERES_IV_11">#REF!</definedName>
    <definedName name="FKERES_IV_11">#REF!</definedName>
    <definedName name="FKERES_IV_11_2">#REF!</definedName>
    <definedName name="FKERES_IV_12_14">#REF!</definedName>
    <definedName name="FKERES_IV_12_15">#REF!</definedName>
    <definedName name="FKERES_IV_121">#REF!</definedName>
    <definedName name="FKERES_IV_12_1">#REF!</definedName>
    <definedName name="FKERES_IV_12_2">#REF!</definedName>
    <definedName name="FKERES_IV_12_3">#REF!</definedName>
    <definedName name="FKERES_IV_12_4">#REF!</definedName>
    <definedName name="FKERES_IV_12_5">#REF!</definedName>
    <definedName name="FKERES_IV_15_10">"$#HIV!.$A$5:$G$52"</definedName>
    <definedName name="FKERES_IV_15_12">#REF!</definedName>
    <definedName name="FKERES_IV_15_13">#REF!</definedName>
    <definedName name="FKERES_IV_15_14">#REF!</definedName>
    <definedName name="FKERES_IV_15_15">#REF!</definedName>
    <definedName name="FKERES_IV_15_2">"$#HIV!.$A$5:$G$52"</definedName>
    <definedName name="FKERES_IV_15_4">"$#HIV!.$A$5:$G$52"</definedName>
    <definedName name="FKERES_IV_15_1">"$#HIV!.$A$5:$G$52"</definedName>
    <definedName name="FKERES_IV_15_3">"$#HIV!.$A$5:$G$52"</definedName>
    <definedName name="FKERES_IV_151">#REF!</definedName>
    <definedName name="FKERES_IV_15_11">#REF!</definedName>
    <definedName name="FKERES_IV_15_11">#REF!</definedName>
    <definedName name="FKERES_IV_15_11_2">#REF!</definedName>
    <definedName name="FKERES_IV_15_12_14">#REF!</definedName>
    <definedName name="FKERES_IV_15_12_15">#REF!</definedName>
    <definedName name="FKERES_IV_15_121">#REF!</definedName>
    <definedName name="FKERES_IV_15_12_1">#REF!</definedName>
    <definedName name="FKERES_IV_15_12_2">#REF!</definedName>
    <definedName name="FKERES_IV_15_12_3">#REF!</definedName>
    <definedName name="FKERES_IV_15_12_4">#REF!</definedName>
    <definedName name="FKERES_IV_15_12_5">#REF!</definedName>
    <definedName name="FKERES_IV_15_21">#REF!</definedName>
    <definedName name="FKERES_IV_15_31">#REF!</definedName>
    <definedName name="FKERES_IV_15_41">#REF!</definedName>
    <definedName name="FKERES_IV_15_5">#REF!</definedName>
    <definedName name="FKERES_IV_15_9">#REF!</definedName>
    <definedName name="FKERES_IV_2_10">"$#HIV!.$A$3:$A$5"</definedName>
    <definedName name="FKERES_IV_2_12">#REF!</definedName>
    <definedName name="FKERES_IV_2_13">#REF!</definedName>
    <definedName name="FKERES_IV_2_14">#REF!</definedName>
    <definedName name="FKERES_IV_2_15">#REF!</definedName>
    <definedName name="FKERES_IV_2_2">"$#HIV!.$A$3:$A$5"</definedName>
    <definedName name="FKERES_IV_2_4">"$#HIV!.$A$3:$A$5"</definedName>
    <definedName name="FKERES_IV_2_1">"$#HIV!.$A$3:$A$5"</definedName>
    <definedName name="FKERES_IV_2_3">"$#HIV!.$A$3:$A$5"</definedName>
    <definedName name="FKERES_IV_21">#REF!</definedName>
    <definedName name="FKERES_IV_2_11">#REF!</definedName>
    <definedName name="FKERES_IV_2_1_1">#REF!</definedName>
    <definedName name="FKERES_IV_2_11">#REF!</definedName>
    <definedName name="FKERES_IV_2_11_2">#REF!</definedName>
    <definedName name="FKERES_IV_2_21">#REF!</definedName>
    <definedName name="FKERES_IV_2_31">#REF!</definedName>
    <definedName name="FKERES_IV_2_41">#REF!</definedName>
    <definedName name="FKERES_IV_2_5">#REF!</definedName>
    <definedName name="FKERES_IV_20_10">"$#HIV!.$A$5:$G$52"</definedName>
    <definedName name="FKERES_IV_20_12">#REF!</definedName>
    <definedName name="FKERES_IV_20_13">#REF!</definedName>
    <definedName name="FKERES_IV_20_14">#REF!</definedName>
    <definedName name="FKERES_IV_20_15">#REF!</definedName>
    <definedName name="FKERES_IV_20_2">"$#HIV!.$A$5:$G$52"</definedName>
    <definedName name="FKERES_IV_20_4">"$#HIV!.$A$5:$G$52"</definedName>
    <definedName name="FKERES_IV_20_1">"$#HIV!.$A$5:$G$52"</definedName>
    <definedName name="FKERES_IV_20_3">"$#HIV!.$A$5:$G$52"</definedName>
    <definedName name="FKERES_IV_20">#REF!</definedName>
    <definedName name="FKERES_IV_20_11">#REF!</definedName>
    <definedName name="FKERES_IV_20_11">#REF!</definedName>
    <definedName name="FKERES_IV_20_11_2">#REF!</definedName>
    <definedName name="FKERES_IV_20_12_14">#REF!</definedName>
    <definedName name="FKERES_IV_20_12_15">#REF!</definedName>
    <definedName name="FKERES_IV_20_121">#REF!</definedName>
    <definedName name="FKERES_IV_20_12_1">#REF!</definedName>
    <definedName name="FKERES_IV_20_12_2">#REF!</definedName>
    <definedName name="FKERES_IV_20_12_3">#REF!</definedName>
    <definedName name="FKERES_IV_20_12_4">#REF!</definedName>
    <definedName name="FKERES_IV_20_12_5">#REF!</definedName>
    <definedName name="FKERES_IV_20_21">#REF!</definedName>
    <definedName name="FKERES_IV_20_31">#REF!</definedName>
    <definedName name="FKERES_IV_20_41">#REF!</definedName>
    <definedName name="FKERES_IV_20_5">#REF!</definedName>
    <definedName name="FKERES_IV_20_9">#REF!</definedName>
    <definedName name="FKERES_IV_24_10">"$#HIV!.$A$5:$G$52"</definedName>
    <definedName name="FKERES_IV_24_12">#REF!</definedName>
    <definedName name="FKERES_IV_24_13">#REF!</definedName>
    <definedName name="FKERES_IV_24_14">#REF!</definedName>
    <definedName name="FKERES_IV_24_15">#REF!</definedName>
    <definedName name="FKERES_IV_24_2">"$#HIV!.$A$5:$G$52"</definedName>
    <definedName name="FKERES_IV_24_4">"$#HIV!.$A$5:$G$52"</definedName>
    <definedName name="FKERES_IV_24_1">"$#HIV!.$A$5:$G$52"</definedName>
    <definedName name="FKERES_IV_24_3">"$#HIV!.$A$5:$G$52"</definedName>
    <definedName name="FKERES_IV_24">#REF!</definedName>
    <definedName name="FKERES_IV_24_11">#REF!</definedName>
    <definedName name="FKERES_IV_24_11">#REF!</definedName>
    <definedName name="FKERES_IV_24_11_2">#REF!</definedName>
    <definedName name="FKERES_IV_24_12_14">#REF!</definedName>
    <definedName name="FKERES_IV_24_12_15">#REF!</definedName>
    <definedName name="FKERES_IV_24_121">#REF!</definedName>
    <definedName name="FKERES_IV_24_12_1">#REF!</definedName>
    <definedName name="FKERES_IV_24_12_2">#REF!</definedName>
    <definedName name="FKERES_IV_24_12_3">#REF!</definedName>
    <definedName name="FKERES_IV_24_12_4">#REF!</definedName>
    <definedName name="FKERES_IV_24_12_5">#REF!</definedName>
    <definedName name="FKERES_IV_24_21">#REF!</definedName>
    <definedName name="FKERES_IV_24_31">#REF!</definedName>
    <definedName name="FKERES_IV_24_41">#REF!</definedName>
    <definedName name="FKERES_IV_24_5">#REF!</definedName>
    <definedName name="FKERES_IV_24_9">#REF!</definedName>
    <definedName name="FKERES_IV_31">#REF!</definedName>
    <definedName name="FKERES_IV_41">#REF!</definedName>
    <definedName name="FKERES_IV_5">#REF!</definedName>
    <definedName name="FKERES_IV_9">#REF!</definedName>
    <definedName name="k_10">"$#HIV!.$A$2:$J$60"</definedName>
    <definedName name="k_12">#REF!</definedName>
    <definedName name="k_13">#REF!</definedName>
    <definedName name="k_14">#REF!</definedName>
    <definedName name="k_15">#REF!</definedName>
    <definedName name="k_2">"$#HIV!.$A$2:$J$60"</definedName>
    <definedName name="k_4">"$#HIV!.$A$2:$J$60"</definedName>
    <definedName name="k_1">"$#HIV!.$A$2:$J$60"</definedName>
    <definedName name="k_3">"$#HIV!.$A$2:$J$60"</definedName>
    <definedName name="k">#REF!</definedName>
    <definedName name="k_1_10">"$#HIV!.$A$2:$D$37"</definedName>
    <definedName name="k_1_12">#REF!</definedName>
    <definedName name="k_1_13">#REF!</definedName>
    <definedName name="k_1_14">#REF!</definedName>
    <definedName name="k_1_15">#REF!</definedName>
    <definedName name="k_1_2">"$#HIV!.$A$2:$D$37"</definedName>
    <definedName name="k_1_4">"$#HIV!.$A$2:$D$37"</definedName>
    <definedName name="k_1_1">"$#HIV!.$A$2:$D$37"</definedName>
    <definedName name="k_1_3">"$#HIV!.$A$2:$D$37"</definedName>
    <definedName name="k_11">#REF!</definedName>
    <definedName name="k_1_11">#REF!</definedName>
    <definedName name="k_1_1_1">#REF!</definedName>
    <definedName name="k_1_11">#REF!</definedName>
    <definedName name="k_1_11_2">#REF!</definedName>
    <definedName name="k_1_12_14">#REF!</definedName>
    <definedName name="k_1_12_15">#REF!</definedName>
    <definedName name="k_1_121">#REF!</definedName>
    <definedName name="k_1_12_1">#REF!</definedName>
    <definedName name="k_1_12_2">#REF!</definedName>
    <definedName name="k_1_12_3">#REF!</definedName>
    <definedName name="k_1_12_4">#REF!</definedName>
    <definedName name="k_1_12_5">#REF!</definedName>
    <definedName name="k_1_21">#REF!</definedName>
    <definedName name="k_1_31">#REF!</definedName>
    <definedName name="k_1_41">#REF!</definedName>
    <definedName name="k_1_5">#REF!</definedName>
    <definedName name="k_1_9">#REF!</definedName>
    <definedName name="k_10_12">#REF!</definedName>
    <definedName name="k_10_14">#REF!</definedName>
    <definedName name="k_10_15">#REF!</definedName>
    <definedName name="k_101">#REF!</definedName>
    <definedName name="k_10_1">#REF!</definedName>
    <definedName name="k_10_2">#REF!</definedName>
    <definedName name="k_10_3">#REF!</definedName>
    <definedName name="k_10_4">#REF!</definedName>
    <definedName name="k_10_5">#REF!</definedName>
    <definedName name="k_11">#REF!</definedName>
    <definedName name="k_11_2">#REF!</definedName>
    <definedName name="k_12_14">#REF!</definedName>
    <definedName name="k_12_15">#REF!</definedName>
    <definedName name="k_121">#REF!</definedName>
    <definedName name="k_12_1">#REF!</definedName>
    <definedName name="k_12_2">#REF!</definedName>
    <definedName name="k_12_3">#REF!</definedName>
    <definedName name="k_12_4">#REF!</definedName>
    <definedName name="k_12_5">#REF!</definedName>
    <definedName name="k_2_10">"$#HIV!.$A$3:$B$9"</definedName>
    <definedName name="k_2_12">#REF!</definedName>
    <definedName name="k_2_13">#REF!</definedName>
    <definedName name="k_2_14">#REF!</definedName>
    <definedName name="k_2_15">#REF!</definedName>
    <definedName name="k_2_2">"$#HIV!.$A$3:$B$9"</definedName>
    <definedName name="k_2_4">"$#HIV!.$A$3:$B$9"</definedName>
    <definedName name="k_2_1">"$#HIV!.$A$3:$B$9"</definedName>
    <definedName name="k_2_3">"$#HIV!.$A$3:$B$9"</definedName>
    <definedName name="k_21">#REF!</definedName>
    <definedName name="k_2_11">#REF!</definedName>
    <definedName name="k_2_1_1">#REF!</definedName>
    <definedName name="k_2_11">#REF!</definedName>
    <definedName name="k_2_11_2">#REF!</definedName>
    <definedName name="k_2_21">#REF!</definedName>
    <definedName name="k_2_31">#REF!</definedName>
    <definedName name="k_2_41">#REF!</definedName>
    <definedName name="k_2_5">#REF!</definedName>
    <definedName name="k_20_10">"$#HIV!.$A$2:$J$60"</definedName>
    <definedName name="k_20_12">#REF!</definedName>
    <definedName name="k_20_13">#REF!</definedName>
    <definedName name="k_20_14">#REF!</definedName>
    <definedName name="k_20_15">#REF!</definedName>
    <definedName name="k_20_2">"$#HIV!.$A$2:$J$60"</definedName>
    <definedName name="k_20_4">"$#HIV!.$A$2:$J$60"</definedName>
    <definedName name="k_20_1">"$#HIV!.$A$2:$J$60"</definedName>
    <definedName name="k_20_3">"$#HIV!.$A$2:$J$60"</definedName>
    <definedName name="k_20">#REF!</definedName>
    <definedName name="k_20_11">#REF!</definedName>
    <definedName name="k_20_11">#REF!</definedName>
    <definedName name="k_20_11_2">#REF!</definedName>
    <definedName name="k_20_12_14">#REF!</definedName>
    <definedName name="k_20_12_15">#REF!</definedName>
    <definedName name="k_20_121">#REF!</definedName>
    <definedName name="k_20_12_1">#REF!</definedName>
    <definedName name="k_20_12_2">#REF!</definedName>
    <definedName name="k_20_12_3">#REF!</definedName>
    <definedName name="k_20_12_4">#REF!</definedName>
    <definedName name="k_20_12_5">#REF!</definedName>
    <definedName name="k_20_21">#REF!</definedName>
    <definedName name="k_20_31">#REF!</definedName>
    <definedName name="k_20_41">#REF!</definedName>
    <definedName name="k_20_5">#REF!</definedName>
    <definedName name="k_20_9">#REF!</definedName>
    <definedName name="k_31">#REF!</definedName>
    <definedName name="k_41">#REF!</definedName>
    <definedName name="k_5_10">"$#HIV!.$A$2:$J$60"</definedName>
    <definedName name="k_5_12">#REF!</definedName>
    <definedName name="k_5_14">#REF!</definedName>
    <definedName name="k_5_15">#REF!</definedName>
    <definedName name="k_5_2">"$#HIV!.$A$2:$J$60"</definedName>
    <definedName name="k_5_4">"$#HIV!.$A$2:$J$60"</definedName>
    <definedName name="k_5_1">"$#HIV!.$A$2:$J$60"</definedName>
    <definedName name="k_5_3">"$#HIV!.$A$2:$J$60"</definedName>
    <definedName name="k_5">#REF!</definedName>
    <definedName name="k_5_11">#REF!</definedName>
    <definedName name="k_5_1_1">#REF!</definedName>
    <definedName name="k_5_101">#REF!</definedName>
    <definedName name="k_5_21">#REF!</definedName>
    <definedName name="k_5_31">#REF!</definedName>
    <definedName name="k_5_41">#REF!</definedName>
    <definedName name="k_5_5">#REF!</definedName>
    <definedName name="k_6_10">"$#HIV!.$A$2:$J$60"</definedName>
    <definedName name="k_6_12">#REF!</definedName>
    <definedName name="k_6_14">#REF!</definedName>
    <definedName name="k_6_15">#REF!</definedName>
    <definedName name="k_6_2">"$#HIV!.$A$2:$J$60"</definedName>
    <definedName name="k_6_4">"$#HIV!.$A$2:$J$60"</definedName>
    <definedName name="k_6_1">"$#HIV!.$A$2:$J$60"</definedName>
    <definedName name="k_6_3">"$#HIV!.$A$2:$J$60"</definedName>
    <definedName name="k_6">#REF!</definedName>
    <definedName name="k_6_11">#REF!</definedName>
    <definedName name="k_6_101">#REF!</definedName>
    <definedName name="k_6_21">#REF!</definedName>
    <definedName name="k_6_31">#REF!</definedName>
    <definedName name="k_6_41">#REF!</definedName>
    <definedName name="k_6_5">#REF!</definedName>
    <definedName name="k_9">#REF!</definedName>
    <definedName name="keres_10">"$#HIV!.$A$2:$N$94"</definedName>
    <definedName name="keres_12">#REF!</definedName>
    <definedName name="keres_13">#REF!</definedName>
    <definedName name="keres_14">#REF!</definedName>
    <definedName name="keres_15">#REF!</definedName>
    <definedName name="keres_2">"$#HIV!.$A$2:$N$94"</definedName>
    <definedName name="keres_4">"$#HIV!.$A$2:$N$94"</definedName>
    <definedName name="keres_1">"$#HIV!.$A$2:$N$94"</definedName>
    <definedName name="keres_3">"$#HIV!.$A$2:$N$94"</definedName>
    <definedName name="keres">#REF!</definedName>
    <definedName name="keres_11">#REF!</definedName>
    <definedName name="keres_11">#REF!</definedName>
    <definedName name="keres_11_2">#REF!</definedName>
    <definedName name="keres_12_14">#REF!</definedName>
    <definedName name="keres_12_15">#REF!</definedName>
    <definedName name="keres_121">#REF!</definedName>
    <definedName name="keres_12_1">#REF!</definedName>
    <definedName name="keres_12_2">#REF!</definedName>
    <definedName name="keres_12_3">#REF!</definedName>
    <definedName name="keres_12_4">#REF!</definedName>
    <definedName name="keres_12_5">#REF!</definedName>
    <definedName name="keres_2_10">"$#HIV!.$A$3:$D$28"</definedName>
    <definedName name="keres_2_12">#REF!</definedName>
    <definedName name="keres_2_13">#REF!</definedName>
    <definedName name="keres_2_14">#REF!</definedName>
    <definedName name="keres_2_15">#REF!</definedName>
    <definedName name="keres_2_2">"$#HIV!.$A$3:$D$28"</definedName>
    <definedName name="keres_2_4">"$#HIV!.$A$3:$D$28"</definedName>
    <definedName name="keres_2_1">"$#HIV!.$A$3:$D$28"</definedName>
    <definedName name="keres_2_3">"$#HIV!.$A$3:$D$28"</definedName>
    <definedName name="keres_21">#REF!</definedName>
    <definedName name="keres_2_11">#REF!</definedName>
    <definedName name="keres_2_1_1">#REF!</definedName>
    <definedName name="keres_2_11">#REF!</definedName>
    <definedName name="keres_2_11_2">#REF!</definedName>
    <definedName name="keres_2_21">#REF!</definedName>
    <definedName name="keres_2_31">#REF!</definedName>
    <definedName name="keres_2_41">#REF!</definedName>
    <definedName name="keres_2_5">#REF!</definedName>
    <definedName name="keres_20_10">"$#HIV!.$A$2:$N$94"</definedName>
    <definedName name="keres_20_12">#REF!</definedName>
    <definedName name="keres_20_13">#REF!</definedName>
    <definedName name="keres_20_14">#REF!</definedName>
    <definedName name="keres_20_15">#REF!</definedName>
    <definedName name="keres_20_2">"$#HIV!.$A$2:$N$94"</definedName>
    <definedName name="keres_20_4">"$#HIV!.$A$2:$N$94"</definedName>
    <definedName name="keres_20_1">"$#HIV!.$A$2:$N$94"</definedName>
    <definedName name="keres_20_3">"$#HIV!.$A$2:$N$94"</definedName>
    <definedName name="keres_20">#REF!</definedName>
    <definedName name="keres_20_11">#REF!</definedName>
    <definedName name="keres_20_11">#REF!</definedName>
    <definedName name="keres_20_11_2">#REF!</definedName>
    <definedName name="keres_20_12_14">#REF!</definedName>
    <definedName name="keres_20_12_15">#REF!</definedName>
    <definedName name="keres_20_121">#REF!</definedName>
    <definedName name="keres_20_12_1">#REF!</definedName>
    <definedName name="keres_20_12_2">#REF!</definedName>
    <definedName name="keres_20_12_3">#REF!</definedName>
    <definedName name="keres_20_12_4">#REF!</definedName>
    <definedName name="keres_20_12_5">#REF!</definedName>
    <definedName name="keres_20_21">#REF!</definedName>
    <definedName name="keres_20_31">#REF!</definedName>
    <definedName name="keres_20_41">#REF!</definedName>
    <definedName name="keres_20_5">#REF!</definedName>
    <definedName name="keres_20_9">#REF!</definedName>
    <definedName name="keres_31">#REF!</definedName>
    <definedName name="keres_41">#REF!</definedName>
    <definedName name="keres_5">#REF!</definedName>
    <definedName name="keres_9">#REF!</definedName>
    <definedName name="kitart_10">"$#HIV!.$A$2:$J$89"</definedName>
    <definedName name="kitart_12">#REF!</definedName>
    <definedName name="kitart_13">#REF!</definedName>
    <definedName name="kitart_14">#REF!</definedName>
    <definedName name="kitart_15">#REF!</definedName>
    <definedName name="kitart_2">"$#HIV!.$A$2:$J$89"</definedName>
    <definedName name="kitart_4">"$#HIV!.$A$2:$J$89"</definedName>
    <definedName name="kitart_1">"$#HIV!.$A$2:$J$89"</definedName>
    <definedName name="kitart_3">"$#HIV!.$A$2:$J$89"</definedName>
    <definedName name="kitart">#REF!</definedName>
    <definedName name="kitart_11">#REF!</definedName>
    <definedName name="kitart_11">#REF!</definedName>
    <definedName name="kitart_11_2">#REF!</definedName>
    <definedName name="kitart_12_14">#REF!</definedName>
    <definedName name="kitart_12_15">#REF!</definedName>
    <definedName name="kitart_121">#REF!</definedName>
    <definedName name="kitart_12_1">#REF!</definedName>
    <definedName name="kitart_12_2">#REF!</definedName>
    <definedName name="kitart_12_3">#REF!</definedName>
    <definedName name="kitart_12_4">#REF!</definedName>
    <definedName name="kitart_12_5">#REF!</definedName>
    <definedName name="kitart_2_10">"$#HIV!.$A$3:$B$24"</definedName>
    <definedName name="kitart_2_12">#REF!</definedName>
    <definedName name="kitart_2_13">#REF!</definedName>
    <definedName name="kitart_2_14">#REF!</definedName>
    <definedName name="kitart_2_15">#REF!</definedName>
    <definedName name="kitart_2_2">"$#HIV!.$A$3:$B$24"</definedName>
    <definedName name="kitart_2_4">"$#HIV!.$A$3:$B$24"</definedName>
    <definedName name="kitart_2_1">"$#HIV!.$A$3:$B$24"</definedName>
    <definedName name="kitart_2_3">"$#HIV!.$A$3:$B$24"</definedName>
    <definedName name="kitart_21">#REF!</definedName>
    <definedName name="kitart_2_11">#REF!</definedName>
    <definedName name="kitart_2_1_1">#REF!</definedName>
    <definedName name="kitart_2_11">#REF!</definedName>
    <definedName name="kitart_2_11_2">#REF!</definedName>
    <definedName name="kitart_2_21">#REF!</definedName>
    <definedName name="kitart_2_31">#REF!</definedName>
    <definedName name="kitart_2_41">#REF!</definedName>
    <definedName name="kitart_2_5">#REF!</definedName>
    <definedName name="kitart_20_10">"$#HIV!.$A$2:$J$89"</definedName>
    <definedName name="kitart_20_12">#REF!</definedName>
    <definedName name="kitart_20_13">#REF!</definedName>
    <definedName name="kitart_20_14">#REF!</definedName>
    <definedName name="kitart_20_15">#REF!</definedName>
    <definedName name="kitart_20_2">"$#HIV!.$A$2:$J$89"</definedName>
    <definedName name="kitart_20_4">"$#HIV!.$A$2:$J$89"</definedName>
    <definedName name="kitart_20_1">"$#HIV!.$A$2:$J$89"</definedName>
    <definedName name="kitart_20_3">"$#HIV!.$A$2:$J$89"</definedName>
    <definedName name="kitart_20">#REF!</definedName>
    <definedName name="kitart_20_11">#REF!</definedName>
    <definedName name="kitart_20_11">#REF!</definedName>
    <definedName name="kitart_20_11_2">#REF!</definedName>
    <definedName name="kitart_20_12_14">#REF!</definedName>
    <definedName name="kitart_20_12_15">#REF!</definedName>
    <definedName name="kitart_20_121">#REF!</definedName>
    <definedName name="kitart_20_12_1">#REF!</definedName>
    <definedName name="kitart_20_12_2">#REF!</definedName>
    <definedName name="kitart_20_12_3">#REF!</definedName>
    <definedName name="kitart_20_12_4">#REF!</definedName>
    <definedName name="kitart_20_12_5">#REF!</definedName>
    <definedName name="kitart_20_21">#REF!</definedName>
    <definedName name="kitart_20_31">#REF!</definedName>
    <definedName name="kitart_20_41">#REF!</definedName>
    <definedName name="kitart_20_5">#REF!</definedName>
    <definedName name="kitart_20_9">#REF!</definedName>
    <definedName name="kitart_31">#REF!</definedName>
    <definedName name="kitart_41">#REF!</definedName>
    <definedName name="kitart_5">#REF!</definedName>
    <definedName name="kitart_9">#REF!</definedName>
    <definedName name="kkk_10">"$#HIV!.$A$2:$O$53"</definedName>
    <definedName name="kkk_12">#REF!</definedName>
    <definedName name="kkk_13">#REF!</definedName>
    <definedName name="kkk_14">#REF!</definedName>
    <definedName name="kkk_15">#REF!</definedName>
    <definedName name="kkk_2">"$#HIV!.$A$2:$O$53"</definedName>
    <definedName name="kkk_4">"$#HIV!.$A$2:$O$53"</definedName>
    <definedName name="kkk_1">"$#HIV!.$A$2:$O$53"</definedName>
    <definedName name="kkk_3">"$#HIV!.$A$2:$O$53"</definedName>
    <definedName name="kkk">#REF!</definedName>
    <definedName name="kkk_11">#REF!</definedName>
    <definedName name="kkk_11">#REF!</definedName>
    <definedName name="kkk_11_2">#REF!</definedName>
    <definedName name="kkk_12_14">#REF!</definedName>
    <definedName name="kkk_12_15">#REF!</definedName>
    <definedName name="kkk_121">#REF!</definedName>
    <definedName name="kkk_12_1">#REF!</definedName>
    <definedName name="kkk_12_2">#REF!</definedName>
    <definedName name="kkk_12_3">#REF!</definedName>
    <definedName name="kkk_12_4">#REF!</definedName>
    <definedName name="kkk_12_5">#REF!</definedName>
    <definedName name="kkk_2_10">"$#HIV!.$A$3:$D$5"</definedName>
    <definedName name="kkk_2_12">#REF!</definedName>
    <definedName name="kkk_2_13">#REF!</definedName>
    <definedName name="kkk_2_14">#REF!</definedName>
    <definedName name="kkk_2_15">#REF!</definedName>
    <definedName name="kkk_2_2">"$#HIV!.$A$3:$D$5"</definedName>
    <definedName name="kkk_2_4">"$#HIV!.$A$3:$D$5"</definedName>
    <definedName name="kkk_2_1">"$#HIV!.$A$3:$D$5"</definedName>
    <definedName name="kkk_2_3">"$#HIV!.$A$3:$D$5"</definedName>
    <definedName name="kkk_21">#REF!</definedName>
    <definedName name="kkk_2_11">#REF!</definedName>
    <definedName name="kkk_2_1_1">#REF!</definedName>
    <definedName name="kkk_2_11">#REF!</definedName>
    <definedName name="kkk_2_11_2">#REF!</definedName>
    <definedName name="kkk_2_21">#REF!</definedName>
    <definedName name="kkk_2_31">#REF!</definedName>
    <definedName name="kkk_2_41">#REF!</definedName>
    <definedName name="kkk_2_5">#REF!</definedName>
    <definedName name="kkk_20_10">"$#HIV!.$A$2:$O$53"</definedName>
    <definedName name="kkk_20_12">#REF!</definedName>
    <definedName name="kkk_20_13">#REF!</definedName>
    <definedName name="kkk_20_14">#REF!</definedName>
    <definedName name="kkk_20_15">#REF!</definedName>
    <definedName name="kkk_20_2">"$#HIV!.$A$2:$O$53"</definedName>
    <definedName name="kkk_20_4">"$#HIV!.$A$2:$O$53"</definedName>
    <definedName name="kkk_20_1">"$#HIV!.$A$2:$O$53"</definedName>
    <definedName name="kkk_20_3">"$#HIV!.$A$2:$O$53"</definedName>
    <definedName name="kkk_20">#REF!</definedName>
    <definedName name="kkk_20_11">#REF!</definedName>
    <definedName name="kkk_20_11">#REF!</definedName>
    <definedName name="kkk_20_11_2">#REF!</definedName>
    <definedName name="kkk_20_12_14">#REF!</definedName>
    <definedName name="kkk_20_12_15">#REF!</definedName>
    <definedName name="kkk_20_121">#REF!</definedName>
    <definedName name="kkk_20_12_1">#REF!</definedName>
    <definedName name="kkk_20_12_2">#REF!</definedName>
    <definedName name="kkk_20_12_3">#REF!</definedName>
    <definedName name="kkk_20_12_4">#REF!</definedName>
    <definedName name="kkk_20_12_5">#REF!</definedName>
    <definedName name="kkk_20_21">#REF!</definedName>
    <definedName name="kkk_20_31">#REF!</definedName>
    <definedName name="kkk_20_41">#REF!</definedName>
    <definedName name="kkk_20_5">#REF!</definedName>
    <definedName name="kkk_20_9">#REF!</definedName>
    <definedName name="kkk_31">#REF!</definedName>
    <definedName name="kkk_41">#REF!</definedName>
    <definedName name="kkk_5">#REF!</definedName>
    <definedName name="kkk_9">#REF!</definedName>
    <definedName name="KOTO0403_10">"$#HIV!.$A$2:$H$93"</definedName>
    <definedName name="KOTO0403_12">#REF!</definedName>
    <definedName name="KOTO0403_13">#REF!</definedName>
    <definedName name="KOTO0403_14">#REF!</definedName>
    <definedName name="KOTO0403_15">#REF!</definedName>
    <definedName name="KOTO0403_2">"$#HIV!.$A$2:$H$93"</definedName>
    <definedName name="KOTO0403_4">"$#HIV!.$A$2:$H$93"</definedName>
    <definedName name="KOTO0403_1">"$#HIV!.$A$2:$H$93"</definedName>
    <definedName name="KOTO0403_3">"$#HIV!.$A$2:$H$93"</definedName>
    <definedName name="KOTO0403">#REF!</definedName>
    <definedName name="KOTO0403_11">#REF!</definedName>
    <definedName name="KOTO0403_11">#REF!</definedName>
    <definedName name="KOTO0403_11_2">#REF!</definedName>
    <definedName name="KOTO0403_12_14">#REF!</definedName>
    <definedName name="KOTO0403_12_15">#REF!</definedName>
    <definedName name="KOTO0403_121">#REF!</definedName>
    <definedName name="KOTO0403_12_1">#REF!</definedName>
    <definedName name="KOTO0403_12_2">#REF!</definedName>
    <definedName name="KOTO0403_12_3">#REF!</definedName>
    <definedName name="KOTO0403_12_4">#REF!</definedName>
    <definedName name="KOTO0403_12_5">#REF!</definedName>
    <definedName name="KOTO0403_2_10">"$#HIV!.$A$3:$A$29"</definedName>
    <definedName name="KOTO0403_2_12">#REF!</definedName>
    <definedName name="KOTO0403_2_13">#REF!</definedName>
    <definedName name="KOTO0403_2_14">#REF!</definedName>
    <definedName name="KOTO0403_2_15">#REF!</definedName>
    <definedName name="KOTO0403_2_2">"$#HIV!.$A$3:$A$29"</definedName>
    <definedName name="KOTO0403_2_4">"$#HIV!.$A$3:$A$29"</definedName>
    <definedName name="KOTO0403_2_1">"$#HIV!.$A$3:$A$29"</definedName>
    <definedName name="KOTO0403_2_3">"$#HIV!.$A$3:$A$29"</definedName>
    <definedName name="KOTO0403_21">#REF!</definedName>
    <definedName name="KOTO0403_2_11">#REF!</definedName>
    <definedName name="KOTO0403_2_1_1">#REF!</definedName>
    <definedName name="KOTO0403_2_11">#REF!</definedName>
    <definedName name="KOTO0403_2_11_2">#REF!</definedName>
    <definedName name="KOTO0403_2_12_14">#REF!</definedName>
    <definedName name="KOTO0403_2_12_15">#REF!</definedName>
    <definedName name="KOTO0403_2_121">#REF!</definedName>
    <definedName name="KOTO0403_2_12_1">#REF!</definedName>
    <definedName name="KOTO0403_2_12_2">#REF!</definedName>
    <definedName name="KOTO0403_2_12_3">#REF!</definedName>
    <definedName name="KOTO0403_2_12_4">#REF!</definedName>
    <definedName name="KOTO0403_2_12_5">#REF!</definedName>
    <definedName name="KOTO0403_2_21">#REF!</definedName>
    <definedName name="KOTO0403_2_31">#REF!</definedName>
    <definedName name="KOTO0403_2_41">#REF!</definedName>
    <definedName name="KOTO0403_2_5">#REF!</definedName>
    <definedName name="KOTO0403_2_9">#REF!</definedName>
    <definedName name="KOTO0403_20_10">"$#HIV!.$A$2:$H$93"</definedName>
    <definedName name="KOTO0403_20_12">#REF!</definedName>
    <definedName name="KOTO0403_20_13">#REF!</definedName>
    <definedName name="KOTO0403_20_14">#REF!</definedName>
    <definedName name="KOTO0403_20_15">#REF!</definedName>
    <definedName name="KOTO0403_20_2">"$#HIV!.$A$2:$H$93"</definedName>
    <definedName name="KOTO0403_20_4">"$#HIV!.$A$2:$H$93"</definedName>
    <definedName name="KOTO0403_20_1">"$#HIV!.$A$2:$H$93"</definedName>
    <definedName name="KOTO0403_20_3">"$#HIV!.$A$2:$H$93"</definedName>
    <definedName name="KOTO0403_20">#REF!</definedName>
    <definedName name="KOTO0403_20_11">#REF!</definedName>
    <definedName name="KOTO0403_20_11">#REF!</definedName>
    <definedName name="KOTO0403_20_11_2">#REF!</definedName>
    <definedName name="KOTO0403_20_12_14">#REF!</definedName>
    <definedName name="KOTO0403_20_12_15">#REF!</definedName>
    <definedName name="KOTO0403_20_121">#REF!</definedName>
    <definedName name="KOTO0403_20_12_1">#REF!</definedName>
    <definedName name="KOTO0403_20_12_2">#REF!</definedName>
    <definedName name="KOTO0403_20_12_3">#REF!</definedName>
    <definedName name="KOTO0403_20_12_4">#REF!</definedName>
    <definedName name="KOTO0403_20_12_5">#REF!</definedName>
    <definedName name="KOTO0403_20_21">#REF!</definedName>
    <definedName name="KOTO0403_20_31">#REF!</definedName>
    <definedName name="KOTO0403_20_41">#REF!</definedName>
    <definedName name="KOTO0403_20_5">#REF!</definedName>
    <definedName name="KOTO0403_20_9">#REF!</definedName>
    <definedName name="KOTO0403_31">#REF!</definedName>
    <definedName name="KOTO0403_41">#REF!</definedName>
    <definedName name="KOTO0403_5">#REF!</definedName>
    <definedName name="KOTO0403_9">#REF!</definedName>
    <definedName name="mérlegek">#REF!</definedName>
  </definedNames>
  <calcPr fullCalcOnLoad="1"/>
</workbook>
</file>

<file path=xl/sharedStrings.xml><?xml version="1.0" encoding="utf-8"?>
<sst xmlns="http://schemas.openxmlformats.org/spreadsheetml/2006/main" count="1507" uniqueCount="682">
  <si>
    <t>Bevételek</t>
  </si>
  <si>
    <t>2006. évi teljesítés 21/2007. (IV.23.)rend.</t>
  </si>
  <si>
    <t xml:space="preserve">2007. évi várható teljesítés </t>
  </si>
  <si>
    <t>Módosított előirányzat 24/2008. (VI.30.)rend.</t>
  </si>
  <si>
    <t>Előterjesztett módosítás</t>
  </si>
  <si>
    <t>Módosított előirányzat 40/2008. (X.6.)rend.</t>
  </si>
  <si>
    <t>Módosított előirányzat 43/2008. (XII.1.)rend.</t>
  </si>
  <si>
    <t>Előterjesztett módosított előirányzat</t>
  </si>
  <si>
    <t>Kiadások</t>
  </si>
  <si>
    <t>2006. évi teljesítés  21/2007.     (IV. 23.)</t>
  </si>
  <si>
    <t>MŰKÖDÉSI CÉLÚ BEVÉTELEK</t>
  </si>
  <si>
    <t>MŰKÖDÉSI CÉLÚ KIADÁSOK</t>
  </si>
  <si>
    <t>Működési bevételek</t>
  </si>
  <si>
    <t>Személyi jellegű kiadások</t>
  </si>
  <si>
    <t>Intézményi működési bevételek</t>
  </si>
  <si>
    <t>Munkaadót terhelő járulékok</t>
  </si>
  <si>
    <t>Önkormányzatok sajátos működési bev.</t>
  </si>
  <si>
    <t>Dologi és egyéb folyó kiadások</t>
  </si>
  <si>
    <t>Támogatásértékű bevételek</t>
  </si>
  <si>
    <t>Kamatkiadások</t>
  </si>
  <si>
    <r>
      <t xml:space="preserve"> </t>
    </r>
    <r>
      <rPr>
        <i/>
        <sz val="9"/>
        <rFont val="Arial"/>
        <family val="2"/>
      </rPr>
      <t>- ebből OEP-től átvett pénzeszköz</t>
    </r>
  </si>
  <si>
    <t>Szociálpolitikai ellátások és egyéb juttatások</t>
  </si>
  <si>
    <t>Működési célra véglegesen átvett pénzeszközök</t>
  </si>
  <si>
    <t>Ellátottak pénzbeli juttatásai</t>
  </si>
  <si>
    <t>Önkormányzatok költségvetési támogatása</t>
  </si>
  <si>
    <t>Támogatásértékű működési kiadás</t>
  </si>
  <si>
    <t>Támogatási kölcsön igénybevétele</t>
  </si>
  <si>
    <t>Előző évi maradvány átadás</t>
  </si>
  <si>
    <t>Támogatási kölcsönök visszatérülése</t>
  </si>
  <si>
    <t>Működési célú pénzeszközátadás</t>
  </si>
  <si>
    <t>Pénzmaradvány igénybevétele</t>
  </si>
  <si>
    <t>Működési célú kölcsön nyújtása</t>
  </si>
  <si>
    <t>Vállakozási eredmény igénybevétele</t>
  </si>
  <si>
    <t>Működési célú kölcsön visszafizetése</t>
  </si>
  <si>
    <t>Kisebbségi önk. állami támogatásának átadása</t>
  </si>
  <si>
    <t>Tartalékok</t>
  </si>
  <si>
    <t xml:space="preserve"> -</t>
  </si>
  <si>
    <r>
      <t xml:space="preserve">  </t>
    </r>
    <r>
      <rPr>
        <i/>
        <sz val="9"/>
        <rFont val="Arial"/>
        <family val="2"/>
      </rPr>
      <t>- Általános tartalék</t>
    </r>
  </si>
  <si>
    <r>
      <t xml:space="preserve">  </t>
    </r>
    <r>
      <rPr>
        <i/>
        <sz val="9"/>
        <rFont val="Arial"/>
        <family val="2"/>
      </rPr>
      <t>- Céltartalékok</t>
    </r>
  </si>
  <si>
    <t>FELHALMOZÁSI CÉLÚ BEVÉTELEK</t>
  </si>
  <si>
    <t>FELHALMOZÁSI CÉLÚ KIADÁSOK</t>
  </si>
  <si>
    <t>Felhalmozási és tőke jellegű bevételek</t>
  </si>
  <si>
    <t>Beruházási kiadások</t>
  </si>
  <si>
    <t>Támogatásértékű felhalmozási  bevételek</t>
  </si>
  <si>
    <t>Felújítások</t>
  </si>
  <si>
    <t>Felhalmozásra véglegesen átvett pénzeszk.</t>
  </si>
  <si>
    <t>Támogatásértékű felhalmozási kiadás</t>
  </si>
  <si>
    <t>Felhalmozási célú pénzeszközátadás</t>
  </si>
  <si>
    <t>Felhalmozási célú kölcsön nyújtása</t>
  </si>
  <si>
    <t>Pénzmaradvány felhalmozási célú felhasználása</t>
  </si>
  <si>
    <t>Pénzügyi befektetések kiadásai</t>
  </si>
  <si>
    <t>Fejlesztési céltartalék</t>
  </si>
  <si>
    <t xml:space="preserve"> - </t>
  </si>
  <si>
    <t>KÖLTSÉGVETÉSI BEVÉTELEK</t>
  </si>
  <si>
    <t>KÖLTSÉGVETÉSI KIADÁSOK</t>
  </si>
  <si>
    <t>Működési célú finanszírozási bevételek</t>
  </si>
  <si>
    <t>Működési célú finanszírozási kiadások</t>
  </si>
  <si>
    <t>Felhalmozási célú finanszírozási bevételek</t>
  </si>
  <si>
    <t>Felhalmozási célú finanszírozási kiadások</t>
  </si>
  <si>
    <t>FINANSZÍROZÁSI BEVÉTELEK</t>
  </si>
  <si>
    <t>FINANSZÍROZÁSI KIADÁSOK</t>
  </si>
  <si>
    <t>BEVÉTELEK MINDÖSSZESEN</t>
  </si>
  <si>
    <t>KIADÁSOK MINDÖSSZESEN</t>
  </si>
  <si>
    <t>Módosított előirányzat 152/2008. (XI.04.)CHKÖ</t>
  </si>
  <si>
    <t>Előirányzat módosítás</t>
  </si>
  <si>
    <t>Módosított előirányzat 1/2009. (I.)</t>
  </si>
  <si>
    <r>
      <t xml:space="preserve"> </t>
    </r>
    <r>
      <rPr>
        <i/>
        <sz val="10"/>
        <rFont val="Arial"/>
        <family val="2"/>
      </rPr>
      <t>- ebből KMJV Önkormányzat hozzájárulása</t>
    </r>
  </si>
  <si>
    <t>Véglegesen átvett pénzeszközök</t>
  </si>
  <si>
    <t xml:space="preserve">Szociálpolitikai ellátások és egyéb  juttatások </t>
  </si>
  <si>
    <t xml:space="preserve">Támogatás értékű működési kiadás </t>
  </si>
  <si>
    <t>Pénzmaradvány</t>
  </si>
  <si>
    <t>Módosított előirányzat 70/2008.(IX.23.)NHKÖ</t>
  </si>
  <si>
    <t xml:space="preserve">Módosított előirányzat </t>
  </si>
  <si>
    <t xml:space="preserve"> - ebből KMJV Önkormányzat hozzájárulása</t>
  </si>
  <si>
    <t>Módosított előirányzat 49/2008. (X.1.)HHKÖ</t>
  </si>
  <si>
    <t>Módosított előirányzat</t>
  </si>
  <si>
    <t>Intézmények Megnevezése</t>
  </si>
  <si>
    <t>Előirányzat megnevezése</t>
  </si>
  <si>
    <t>Hatósági jogkörhöz köthető működési bevétel</t>
  </si>
  <si>
    <t>Egyéb saját  bevétel</t>
  </si>
  <si>
    <t>ÁFA  bevétel</t>
  </si>
  <si>
    <t>Támogatás- értékű működési bevétel *ebből OEP</t>
  </si>
  <si>
    <t>Támogatás- értékű  felhalmozási  bevétel *ebből OEP</t>
  </si>
  <si>
    <t>Kamatbevétel</t>
  </si>
  <si>
    <t>Felhalmozási és tőkejellegű bevétel</t>
  </si>
  <si>
    <t>Költségvetési  támogatás</t>
  </si>
  <si>
    <t>Müködési célra államház- tartáson kívülről véglegesen átvett  p.e.</t>
  </si>
  <si>
    <t>Felhalmozási célra államháztar- táson kívülről véglegesen átvett  p.e.</t>
  </si>
  <si>
    <t>Támogatási kölcsönök visszaté- rülése</t>
  </si>
  <si>
    <t>Előző évi pénzma-radvány igénybe-vétele</t>
  </si>
  <si>
    <t>Előző évi vállalkozási maradvány igénybevé- tele</t>
  </si>
  <si>
    <t>Összes bevétel</t>
  </si>
  <si>
    <t>Alapellátás</t>
  </si>
  <si>
    <t>Módosított 12.01.</t>
  </si>
  <si>
    <t>Módosítás</t>
  </si>
  <si>
    <t xml:space="preserve">Módosított </t>
  </si>
  <si>
    <t>Kecskemét és Térsége Ügyeleti Társulás</t>
  </si>
  <si>
    <t>Egészségügyi és Szociális Intézmények Igazgatósága</t>
  </si>
  <si>
    <t>Egészségügyi és Szociális Intézmények Igazgatósága Összesen</t>
  </si>
  <si>
    <t>EGÉSZSÉGÜGYI ÉS SZOCIÁLIS ÁGAZAT ÖSSZESEN</t>
  </si>
  <si>
    <t xml:space="preserve">Belvárosi Óvoda, Általános Iskola </t>
  </si>
  <si>
    <t>Nevelési Tanácsadó</t>
  </si>
  <si>
    <t>Belvárosi Óvoda, Általános Iskola Összesen</t>
  </si>
  <si>
    <t>Corvina Óvoda és Általános Iskola</t>
  </si>
  <si>
    <t>Kálmán Lajos Óvoda, Általános Iskola és Művelődési Ház</t>
  </si>
  <si>
    <t>Széchenyivárosi Óvoda és Általános Iskola</t>
  </si>
  <si>
    <t>Nyíri Úti Egységes Gyógypedagógiai Módszertani Intézmény</t>
  </si>
  <si>
    <t>Széchenyivárosi Óvoda és Általános Iskola Összesen</t>
  </si>
  <si>
    <t>Kecskeméti Művészeti Óvoda, Általános Iskola, Középiskola és Alapfokú Művészetoktatási Intézmény</t>
  </si>
  <si>
    <t>Katona József Gimnázium és Számítástechnikai Szakközépiskola</t>
  </si>
  <si>
    <t>Bányai Júlia Gimnázium</t>
  </si>
  <si>
    <t>Bolyai János Gimnázium</t>
  </si>
  <si>
    <t>Táncsics Mihály Középiskolai  Kollégium</t>
  </si>
  <si>
    <t>Katona József Gimnázium Összesen</t>
  </si>
  <si>
    <t>Gáspár András Szakközépiskola és Kollégium</t>
  </si>
  <si>
    <t>Módosított 06.24.(2)</t>
  </si>
  <si>
    <t>Kada Elek .Közgazdasági Szakközépiskola</t>
  </si>
  <si>
    <t>Szent-Györgyi Albert Egészségügyi és Szociális Szakközépiskola és Kollégium</t>
  </si>
  <si>
    <t>Kandó Kálmán Szakközépiskola és Szakiskola</t>
  </si>
  <si>
    <t>Széchenyi István Idegenforgalmi, Vendéglátóipari Szakképző Iskola és Kollégium</t>
  </si>
  <si>
    <t>Kocsis Pál Mezőgazdasági Szakközépiskola, Szakiskola és Speciális Szakiskola</t>
  </si>
  <si>
    <t>Németh László Általános Iskola és Gimnázium</t>
  </si>
  <si>
    <t>Gáspár András Szakközépiskola és Kollégium Összesen</t>
  </si>
  <si>
    <t>Kecskeméti Műszaki Szakképző Iskola, Speciális Szakiskola és Kollégium</t>
  </si>
  <si>
    <t>Kecskeméti Humán Középiskola, Szakiskola és Kollégium</t>
  </si>
  <si>
    <t>OKTATÁSI ÁGAZAT ÖSSZESEN</t>
  </si>
  <si>
    <t xml:space="preserve">Erdei Ferenc Kultúrális és Konferencia Központ </t>
  </si>
  <si>
    <t>Népi Iparművészeti Gyűjtemény</t>
  </si>
  <si>
    <t>HELPI Ifjúsági Információs és Tanácsadó Iroda</t>
  </si>
  <si>
    <t xml:space="preserve">Planetárium </t>
  </si>
  <si>
    <t>Erdei Ferenc Kulturális és Konferencia Központ Összesen</t>
  </si>
  <si>
    <t xml:space="preserve">Katona József Színház </t>
  </si>
  <si>
    <t xml:space="preserve">Ciróka Bábszínház </t>
  </si>
  <si>
    <t xml:space="preserve">Kecskeméti Televízió   </t>
  </si>
  <si>
    <t xml:space="preserve">Kecskeméti Ifjúsági Otthon </t>
  </si>
  <si>
    <t>KULTURÁLIS ÁGAZAT ÖSSZESEN</t>
  </si>
  <si>
    <t>Piac és Vásárigazgatóság</t>
  </si>
  <si>
    <t>Közterület Felügyelet</t>
  </si>
  <si>
    <t>Piac és Vásárigazgatóság Összesen</t>
  </si>
  <si>
    <t>Kecskemét Megyei Jogú Város Hivatásos Önkormányzati Tűzoltósága</t>
  </si>
  <si>
    <t>EGYÉB ÁGAZAT ÖSSZESEN</t>
  </si>
  <si>
    <t>INTÉZMÉNYEK ÖSSZESEN</t>
  </si>
  <si>
    <t>Személyi juttatás</t>
  </si>
  <si>
    <t>Munkaadókat terhelő járulékok</t>
  </si>
  <si>
    <t>Dologi kiadások</t>
  </si>
  <si>
    <t>Támogatás-  értékű működési kiadások</t>
  </si>
  <si>
    <t>Támogatásér- tékű felhalmozási kiadások</t>
  </si>
  <si>
    <t>Állaháztartá- son kívüli pénzeszköz átadások</t>
  </si>
  <si>
    <t>Társadalom és szociálpolitikai kiadások</t>
  </si>
  <si>
    <t>Kölcsönök nyújtása</t>
  </si>
  <si>
    <t>Felújítási kiadások</t>
  </si>
  <si>
    <t>Összes kiadás</t>
  </si>
  <si>
    <t>Módosított</t>
  </si>
  <si>
    <t>Módosított 10.06.</t>
  </si>
  <si>
    <t>Módosított 12.01</t>
  </si>
  <si>
    <t>Gáspár András Szakközépiskola és Kollégium összesen</t>
  </si>
  <si>
    <t>Intézmények megnevezése</t>
  </si>
  <si>
    <t>Szakmai tevékenységet ellátók létszáma /fő/</t>
  </si>
  <si>
    <t>Intézmény üzemeltetéshez kapcsolódó létszám /fő/</t>
  </si>
  <si>
    <t>2008.
január 1.</t>
  </si>
  <si>
    <t>2008. 
június 30.</t>
  </si>
  <si>
    <t>2008. július 1.</t>
  </si>
  <si>
    <t>2008. szept.1.</t>
  </si>
  <si>
    <t>2008.   okt.1.</t>
  </si>
  <si>
    <t>2008.   dec.1</t>
  </si>
  <si>
    <t>2008.dec.31.</t>
  </si>
  <si>
    <t>2008.
 január 1.</t>
  </si>
  <si>
    <t>2008.    dec.1.</t>
  </si>
  <si>
    <t>2008.dec.31</t>
  </si>
  <si>
    <t>Kálmán Lajos Óvoda, Általános Iskola és  Művelődési Ház</t>
  </si>
  <si>
    <t>Gimnáziumok Összesen</t>
  </si>
  <si>
    <t>Szakképző intézmények összesen</t>
  </si>
  <si>
    <t>Kecskemét Megyei Jogú Város Hivatásos Önkormányzati TűzoltóságaTüzoltóság</t>
  </si>
  <si>
    <t>Intézmény megnevezése</t>
  </si>
  <si>
    <t>Módosított előirányzat 43/2008. (XII.1.) rendelet</t>
  </si>
  <si>
    <t>Igazgatóság</t>
  </si>
  <si>
    <t>Szoftver vásárlás</t>
  </si>
  <si>
    <t>Számítógép vásárlás</t>
  </si>
  <si>
    <t>Gékocsi üzembehelyezési költsége</t>
  </si>
  <si>
    <t>Fénymásoló vásárlás</t>
  </si>
  <si>
    <t>Bútorvásárlás</t>
  </si>
  <si>
    <t>Telefonközpont telepítés és átépítés</t>
  </si>
  <si>
    <t>Ivóvíz adagoló gép</t>
  </si>
  <si>
    <t>Betegemelő, Sim kártya</t>
  </si>
  <si>
    <t>Fűnyíró, fűkasza,rotációskapa,betonkeverő</t>
  </si>
  <si>
    <t>mobil klíma, felmosókocsi</t>
  </si>
  <si>
    <t>Redőny</t>
  </si>
  <si>
    <t>Kecskemét kistérség szociális térképe</t>
  </si>
  <si>
    <t>Konyhatechnikai eszk., bölcsődei berendezések</t>
  </si>
  <si>
    <t>Platán Otthon fűtéskorszerűsítése</t>
  </si>
  <si>
    <t xml:space="preserve">Tűzgátló ajtó vezérlő rendszer </t>
  </si>
  <si>
    <t xml:space="preserve">Előtető készítés </t>
  </si>
  <si>
    <t>Betegágyak</t>
  </si>
  <si>
    <t>Hűtő, mosogatógép, szárítógép</t>
  </si>
  <si>
    <t xml:space="preserve">gyógyszertároló szekrény </t>
  </si>
  <si>
    <t>gépkocsi beszerzés</t>
  </si>
  <si>
    <t xml:space="preserve">Irodabútor </t>
  </si>
  <si>
    <t>Televíziós hálózat kiépítése szoc. Otthonokban</t>
  </si>
  <si>
    <t>Gépkocsi lízing</t>
  </si>
  <si>
    <t>Gépkocsi vásárlás</t>
  </si>
  <si>
    <t>Számítástechnikai eszközök vásárlása</t>
  </si>
  <si>
    <t>Szakmai eszközbeszerzés</t>
  </si>
  <si>
    <t>iktatóprogram, Net regiszter licence</t>
  </si>
  <si>
    <t>védőnői és háziorv.szolg.részére szám.tech.eszk., fénymásolók, vérnyomásmérők, vércukormérők</t>
  </si>
  <si>
    <t>szekrény, pólyázóasztal</t>
  </si>
  <si>
    <t>Biztonsági rendszer, üvegportál, klímaberendezés</t>
  </si>
  <si>
    <t>Gőzsterilizátor fogászat részére</t>
  </si>
  <si>
    <t>Bioptron lámpa, hűtő, ultrahangos berend.</t>
  </si>
  <si>
    <t>Ügyeleti társulás</t>
  </si>
  <si>
    <t>szoftver licence,defiblirátor táska</t>
  </si>
  <si>
    <t>Egészségügyi és Szoc. Int. Igazg.</t>
  </si>
  <si>
    <t>Belvárosi Óvoda és Ált.Isk.</t>
  </si>
  <si>
    <t>Eszközfejlesztés, légkondícionáló</t>
  </si>
  <si>
    <t>udvari játékok és számítógépfejlesztés</t>
  </si>
  <si>
    <t>számítógépek, tesztkészletek</t>
  </si>
  <si>
    <t>Belvárosi Óvoda és Ált.Isk.Össz.</t>
  </si>
  <si>
    <t>Corvina Óvoda és Ált.Isk.</t>
  </si>
  <si>
    <t>Informatikai eszközök</t>
  </si>
  <si>
    <t>Kötelező eszközfejlesztés</t>
  </si>
  <si>
    <t>Nyomtató,irattartó állvány,biztonsági rácsok,fénymásoló,homokozó takaró, beépített szekrények</t>
  </si>
  <si>
    <t>Kálmán L.Óvoda, Ált.Isk.és Ált.Műv.K.</t>
  </si>
  <si>
    <t>Vagyonvédelmi riasztó és inform.eszköz</t>
  </si>
  <si>
    <t>öltöző szekrény, nyomtató, fénymásoló</t>
  </si>
  <si>
    <t>gázfőző zsámolyok, nyomtató, klíma</t>
  </si>
  <si>
    <t>Sportszerek (rugós dobbantó, plexi palánk)</t>
  </si>
  <si>
    <t>Órarend készítő progr., udvari játékok</t>
  </si>
  <si>
    <t>Laptopok,számítógépcsomag</t>
  </si>
  <si>
    <t>Telefonközpont</t>
  </si>
  <si>
    <t>öntözőberendezés, fényképezőgép, hangosító rendszer</t>
  </si>
  <si>
    <t>Irodai bútorok</t>
  </si>
  <si>
    <t>Széchenyivárosi Óvoda és Ált.Isk.</t>
  </si>
  <si>
    <t>nyomtató és biztonsági rács</t>
  </si>
  <si>
    <t>számítógép vásárlás</t>
  </si>
  <si>
    <t>Beépített szekrény sport öltözőbe</t>
  </si>
  <si>
    <t>zárható fiókos tároló, óvodai játék</t>
  </si>
  <si>
    <t>Nyíri Úti Egys. Gyógyped. Int.</t>
  </si>
  <si>
    <t xml:space="preserve">Lap-top vásárlása </t>
  </si>
  <si>
    <t>Széchenyivárosi Óv.és Ált.Isk.Össz.</t>
  </si>
  <si>
    <t>Kméti Művészeti Óv.,Ált.Isk.,Középisk.</t>
  </si>
  <si>
    <t>Hangszerek vásárlása</t>
  </si>
  <si>
    <t>Telefonközpont, bojler, kerítés csere cseréje óvodában</t>
  </si>
  <si>
    <t>Katona József Gimnázium</t>
  </si>
  <si>
    <t>Szakmai gépek, berendezések</t>
  </si>
  <si>
    <t>számítógépek</t>
  </si>
  <si>
    <t>Legó játék és mósógép</t>
  </si>
  <si>
    <t>Kerámia tábla</t>
  </si>
  <si>
    <t>tábla és mosógép</t>
  </si>
  <si>
    <t>Táncsics Mihály Kollégium</t>
  </si>
  <si>
    <t>Étkezési és menza szoftver</t>
  </si>
  <si>
    <t>Katona József Gimnázium összesen</t>
  </si>
  <si>
    <t>Gáspár András Szakközépisk.</t>
  </si>
  <si>
    <t>félévi teljesítésnek megfelelő előir.rendezés</t>
  </si>
  <si>
    <t>Kada Elek Közg. Szakközépisk.</t>
  </si>
  <si>
    <t>Szent-Györgyi A.Eü. Szakközépisk.</t>
  </si>
  <si>
    <t>Gépek, berendezések beszerzése</t>
  </si>
  <si>
    <t>Számítógépek beszerzése</t>
  </si>
  <si>
    <t>Kandó Kálmán Szakközépisk.</t>
  </si>
  <si>
    <t>Eszközfejlesztés</t>
  </si>
  <si>
    <t>Széchenyi I. Vendégl.Szakközépisk.</t>
  </si>
  <si>
    <t>Kocsis Pál Mezőg. Szakközépisk.</t>
  </si>
  <si>
    <t>Járművek beszerzése</t>
  </si>
  <si>
    <t>Németh László Gimnázium</t>
  </si>
  <si>
    <t>szakmai eszközök beszerzése</t>
  </si>
  <si>
    <t>megszűnt intézmények félévi telj. Miatt</t>
  </si>
  <si>
    <t>pénzmaradvány visszajutt.szakmai eszköz.</t>
  </si>
  <si>
    <t>pályázati pénzből szakmai eszközfejl.</t>
  </si>
  <si>
    <t>átvett pénzből szakmai eszközökre</t>
  </si>
  <si>
    <t>HEFOP pály.ból számítógép, nyomtató,projektor,interaktív tábla</t>
  </si>
  <si>
    <t>Kulturális és Konf. Központ</t>
  </si>
  <si>
    <t>kamerás megfigyelőrendszer bővítése</t>
  </si>
  <si>
    <t>Népi Iparműv. Gyűjtemény</t>
  </si>
  <si>
    <t xml:space="preserve">LCD Televízió vásárlása </t>
  </si>
  <si>
    <t>HELPI</t>
  </si>
  <si>
    <t>Színes nyomtató, másoló, projektor</t>
  </si>
  <si>
    <t>Számítógépbővítés</t>
  </si>
  <si>
    <t>Planetárium</t>
  </si>
  <si>
    <t>Erdei F. Kulturális és Konf. Központ összesen</t>
  </si>
  <si>
    <t>Katona J. Színház</t>
  </si>
  <si>
    <t>Számítógép program</t>
  </si>
  <si>
    <t>Erősítő</t>
  </si>
  <si>
    <t>Csillár</t>
  </si>
  <si>
    <t>Számítógép</t>
  </si>
  <si>
    <t>Körfűrész</t>
  </si>
  <si>
    <t xml:space="preserve">mosógép és irodabútor </t>
  </si>
  <si>
    <t>keverőpult, nyomtató</t>
  </si>
  <si>
    <t>tárgyalóasztal székekkel</t>
  </si>
  <si>
    <t>Étkező garnitúra, hűtőszekr., CD lejátszó</t>
  </si>
  <si>
    <t>Hangtechnikai berend., keverőpult, DVD író</t>
  </si>
  <si>
    <t>gérvágó, fényvetők,lámpatestek, hegesztőtrafó</t>
  </si>
  <si>
    <t xml:space="preserve">digitális telj. Szab. Egység </t>
  </si>
  <si>
    <t>Ciróka Bábszínház</t>
  </si>
  <si>
    <t>Kecskeméti TV</t>
  </si>
  <si>
    <t>számítógép és szerver</t>
  </si>
  <si>
    <t xml:space="preserve">eszközállomány fejlesztése </t>
  </si>
  <si>
    <t>Kméti Ifjúsági Otthon</t>
  </si>
  <si>
    <t>Központi szerver és a kapcsolódó operációs rendszer beszerzése</t>
  </si>
  <si>
    <t>Complex CD jogtár és kültéri padok</t>
  </si>
  <si>
    <t>mosógép, szárítógép, elektromos sütő</t>
  </si>
  <si>
    <t>Parkolóautomata beszerzés, raktár építés</t>
  </si>
  <si>
    <t>2 db gépkocsi csere és parkolóautomaták</t>
  </si>
  <si>
    <t>Szabadtéri piac alá mélyparkoló, és kisajátítás</t>
  </si>
  <si>
    <t>Közterület-felügyelet</t>
  </si>
  <si>
    <t>Program vásárlás</t>
  </si>
  <si>
    <t>Tűzoltóság</t>
  </si>
  <si>
    <t>Járművek startkupling beépítése</t>
  </si>
  <si>
    <t>Műszaki mentőszer működt.-hez start kuplung és sugárcső</t>
  </si>
  <si>
    <t>INTÉZMÉNYEK ÖSSZESEN *</t>
  </si>
  <si>
    <t>Piaristák tere 7. épület Luther udvari rész</t>
  </si>
  <si>
    <t xml:space="preserve">Platán Otthon mosoda felújítás </t>
  </si>
  <si>
    <t>Platán Otthon akadálymentesítés</t>
  </si>
  <si>
    <t xml:space="preserve">Hunyadi rendelő felújítása </t>
  </si>
  <si>
    <t>Egészségügyi és Szoc. Int. Igazag.</t>
  </si>
  <si>
    <t>Tantermek felújítása</t>
  </si>
  <si>
    <t>Mátis K. u óvoda fűtéskorszer.</t>
  </si>
  <si>
    <t>Átcsop. Dologira téves könyvelés miatt</t>
  </si>
  <si>
    <t>viharkár miatt tető helyreállítása</t>
  </si>
  <si>
    <t>konyhai gép felújítása</t>
  </si>
  <si>
    <t>sportcsarnok zuhanyzók felújítása</t>
  </si>
  <si>
    <t>Homlokzat felújítás</t>
  </si>
  <si>
    <t>Bethlen krt.65.sz. alatti épület felújítása</t>
  </si>
  <si>
    <t>Átcsop.-az épület felúj. önk.beruh.megval.</t>
  </si>
  <si>
    <t>átcsoportosítás eszközbeszerzésekre</t>
  </si>
  <si>
    <t>Erdei F. Kulturális és Konf. Központ</t>
  </si>
  <si>
    <t>Rákóczi úti szolgálati lakás felújít.</t>
  </si>
  <si>
    <t>nyílászárók felújítása</t>
  </si>
  <si>
    <t>Parádfürdő kisház bejárat, tetőfelújítás</t>
  </si>
  <si>
    <t>Laktanya nyílászáróinak felújítása</t>
  </si>
  <si>
    <t>szertár felújítása</t>
  </si>
  <si>
    <t>udvari térburkolat jav.,erősáramú villamos berend. tűzvédelmi felülvizsgálata megállapításai miatti felújítások</t>
  </si>
  <si>
    <t>Megnevezés</t>
  </si>
  <si>
    <t>Módosított előirányzat 40/2008.  (X.30.) rend.</t>
  </si>
  <si>
    <t>Az átcsoportosítás jogát gyakorolja</t>
  </si>
  <si>
    <t>Általános tartalék</t>
  </si>
  <si>
    <t>Polgármester</t>
  </si>
  <si>
    <t>Általános tartalék összesen:</t>
  </si>
  <si>
    <t>Sport célfeladat</t>
  </si>
  <si>
    <t>Ifjúsági és Sportbizottság</t>
  </si>
  <si>
    <t>Ifjúsági célfeladat</t>
  </si>
  <si>
    <t>Közbiztonság, bűnmegelőzés célfeladat</t>
  </si>
  <si>
    <t>Jogi, Ügyrendi és Bűnmegelőzési Bizottság</t>
  </si>
  <si>
    <t>Európai Integrációs célfeladat</t>
  </si>
  <si>
    <t>Kulturális célfeladat</t>
  </si>
  <si>
    <t>Kulturális és Idegenforgalmi Bizottság</t>
  </si>
  <si>
    <t>Idegenforgalmi célfeladat</t>
  </si>
  <si>
    <t>Mezőgazdasági célfeladat</t>
  </si>
  <si>
    <t>Mezőgazdasági és Környezetgazdálkodási Bizottság</t>
  </si>
  <si>
    <t>Oktatási célfeladat</t>
  </si>
  <si>
    <t>Oktatási és Egyházügyi Bizottság</t>
  </si>
  <si>
    <t>Egészségügyi célfeladat</t>
  </si>
  <si>
    <t>Szociális és Egészségügyi Bizottság</t>
  </si>
  <si>
    <t>Szociális célfeladat</t>
  </si>
  <si>
    <t>Civil célelőirányzat</t>
  </si>
  <si>
    <t>Pénzügyi és Költségvetési Bizottság</t>
  </si>
  <si>
    <t>Kisebbségi Önkormányzatok pályázati programjai</t>
  </si>
  <si>
    <t>Oktatásfejlesztési célfeladat</t>
  </si>
  <si>
    <t>Vis maior tartalék</t>
  </si>
  <si>
    <t>Intézmények személyi juttatásai és járulékai tartaléka</t>
  </si>
  <si>
    <t>Működési céltartalék összesen:</t>
  </si>
  <si>
    <t>Városfejlesztési célfeladat</t>
  </si>
  <si>
    <t>Városrendezési és Városüzemeltetési Bizottság</t>
  </si>
  <si>
    <t>Műemlékvédelmi célfeladat</t>
  </si>
  <si>
    <t>Intézmény fejlesztési, felújítási keret</t>
  </si>
  <si>
    <t>A feladatkör szerint illetékes bizottság</t>
  </si>
  <si>
    <t>Pályázati tartalék</t>
  </si>
  <si>
    <t>Céltartalék óvadéki betét elhelyezésére</t>
  </si>
  <si>
    <t>Közgyűlés</t>
  </si>
  <si>
    <t>Fejlesztési céltartalék összesen:</t>
  </si>
  <si>
    <t>Tartalékok mindösszesen:</t>
  </si>
  <si>
    <t>1./  Kecskemét Megyei Jogú Város Önkormányzata</t>
  </si>
  <si>
    <t xml:space="preserve">      Egészségügyi és Szociális Intézmények Igazgatósága</t>
  </si>
  <si>
    <t xml:space="preserve">      Szegedi Tudományegyetem Háziorvosi Oktató Központja</t>
  </si>
  <si>
    <t xml:space="preserve">                     11 Alapellátás</t>
  </si>
  <si>
    <t xml:space="preserve">                     12 Egészségügyi és Szociális Intézmények Igazgatósága</t>
  </si>
  <si>
    <t>2./ Belvárosi Óvoda és Általános Iskola</t>
  </si>
  <si>
    <t xml:space="preserve">                     21 Nevelési Tanácsadó</t>
  </si>
  <si>
    <t xml:space="preserve">                          221 Zrínyi Ilona Általános Iskolája</t>
  </si>
  <si>
    <t xml:space="preserve">                          222 Magyar Ilona Általános Iskolája</t>
  </si>
  <si>
    <t xml:space="preserve">                          223 Tóth László Általános Iskolája</t>
  </si>
  <si>
    <t xml:space="preserve">                          224 Béke Általános Iskolája</t>
  </si>
  <si>
    <t xml:space="preserve">                          225 Damjanich János Általános Iskolája</t>
  </si>
  <si>
    <t xml:space="preserve">                          226 Vörösmarty Mihály Általános Iskolája</t>
  </si>
  <si>
    <t xml:space="preserve">                          227 Árpádvárosi Óvodája</t>
  </si>
  <si>
    <t xml:space="preserve">                          228 Mátis Kálmán Utcai Óvodája</t>
  </si>
  <si>
    <t>3./ Corvina Óvoda és Általános Iskola</t>
  </si>
  <si>
    <t xml:space="preserve">                          311 Mátyás Király Általános Iskolája</t>
  </si>
  <si>
    <t xml:space="preserve">                          312 Mathiász János Általános Iskolája</t>
  </si>
  <si>
    <t xml:space="preserve">                          313 Hunyadi János Általános Iskolája</t>
  </si>
  <si>
    <t xml:space="preserve">                          314 Kertvárosi Általános Iskolája</t>
  </si>
  <si>
    <t xml:space="preserve">                          315 Ceglédi Úti Óvodája</t>
  </si>
  <si>
    <t xml:space="preserve">                          316 Műkertvárosi Óvodája</t>
  </si>
  <si>
    <t xml:space="preserve">                          317 Ifjúsági Úti Óvodája</t>
  </si>
  <si>
    <t>4./ Kálmán Lajos Óvoda,  Általános Iskola és Művelődési Ház</t>
  </si>
  <si>
    <t xml:space="preserve">                          411 Vásárhelyi Pál Általános Iskolája és Alapfokú Művészetoktatási Intézménye</t>
  </si>
  <si>
    <t xml:space="preserve">                          412 Móricz Zsigmond Általános Iskolája</t>
  </si>
  <si>
    <t xml:space="preserve">                          413 Hetényegyházi Művelődési Háza</t>
  </si>
  <si>
    <t xml:space="preserve">                          414 Ménteleki Általános Iskolája</t>
  </si>
  <si>
    <t xml:space="preserve">                          415 Kadafalvi Általános Iskolája</t>
  </si>
  <si>
    <t xml:space="preserve">                          416 Egyetértés Utcai Óvodája</t>
  </si>
  <si>
    <t xml:space="preserve">                          417 Hetényegyházi Óvodája</t>
  </si>
  <si>
    <t xml:space="preserve">5./ Széchenyivárosi Óvoda és Általános Iskola </t>
  </si>
  <si>
    <t xml:space="preserve">                     51 Nyíri Úti Egységes Gyógypedagógiai Módszertani Intézmény</t>
  </si>
  <si>
    <t xml:space="preserve">                          521 Arany János Általános Iskolája</t>
  </si>
  <si>
    <t xml:space="preserve">                          522 Lánchíd Utcai Általános Iskolája</t>
  </si>
  <si>
    <t xml:space="preserve">                          523 Móra Ferenc Általános Iskolája</t>
  </si>
  <si>
    <t xml:space="preserve">                          524 Lánchíd Utcai Óvodája</t>
  </si>
  <si>
    <t xml:space="preserve">                          525 Forradalom Utcai Óvodája</t>
  </si>
  <si>
    <t xml:space="preserve">                          526 Széchenyi Sétányi Óvodája</t>
  </si>
  <si>
    <t>6./ Kecskeméti Művészeti Óvoda, Általános Iskola, Középiskola és Alapfokú Művészetoktatási Intézmény</t>
  </si>
  <si>
    <t xml:space="preserve">                          611 Kodály Zoltán Ének-zenei Iskolája</t>
  </si>
  <si>
    <t xml:space="preserve">                          612 M.Bodon Pál Zeneiskolája</t>
  </si>
  <si>
    <t xml:space="preserve">                          614 Hosszú Utcai Óvodája</t>
  </si>
  <si>
    <t>7./ Katona József Gimnázium</t>
  </si>
  <si>
    <t xml:space="preserve">                    71 Bányai Júlia Gimnázium     </t>
  </si>
  <si>
    <t xml:space="preserve">                    72 Bolyai János Gimnázium    </t>
  </si>
  <si>
    <t xml:space="preserve">                    73 Táncsics Mihály Középiskolai Kollégium </t>
  </si>
  <si>
    <t>8./ Kecskeméti Műszaki Szakképző Iskola, Speciális Szakiskola és Kollégium</t>
  </si>
  <si>
    <t xml:space="preserve">                        811 Kandó Kálmán Szakközépiskola és Szakiskolája</t>
  </si>
  <si>
    <t xml:space="preserve">                        812 Speciális Szakiskolája</t>
  </si>
  <si>
    <t xml:space="preserve">                        813 Gáspár András Szakközépiskola és Szakiskolája</t>
  </si>
  <si>
    <t xml:space="preserve">                        814 Fiúkollégiuma</t>
  </si>
  <si>
    <t>9./ Kecskeméti Humán Középiskola, Szakiskola és Kollégium</t>
  </si>
  <si>
    <t xml:space="preserve">                       911 Széchenyi István Idegenforgalmi és Vendéglátóipari Szakközépiskola és Szakiskolája</t>
  </si>
  <si>
    <t xml:space="preserve">                       912 Kada Elek Közgazdasági Szakközépiskolája</t>
  </si>
  <si>
    <t xml:space="preserve">                       913 Szent-Györgyi Albert Egészségügyi és Szociális Szakközépiskola és Szakiskolája</t>
  </si>
  <si>
    <t xml:space="preserve">                       914 Kocsis Pál Mezőgazdasági és Környezetvédelmi Szakközépiskola és Szakiskolája</t>
  </si>
  <si>
    <t xml:space="preserve">                       915 Németh László Gimnáziuma</t>
  </si>
  <si>
    <t xml:space="preserve">                       916 Széchenyivárosi Kollégiuma</t>
  </si>
  <si>
    <t>10./ Kecskeméti Ifjúsági Otthon</t>
  </si>
  <si>
    <t>11./ Erdei Ferenc Kulturális és Konferencia Központ</t>
  </si>
  <si>
    <t xml:space="preserve">                   101 Népi Iparművészeti Gyűjtemény</t>
  </si>
  <si>
    <t xml:space="preserve">                   102 HELPI Ifjúsági Információs és Tanácsadó Iroda </t>
  </si>
  <si>
    <t xml:space="preserve">                   103 Kecskeméti Planetárium </t>
  </si>
  <si>
    <t>12./ Katona József Színház</t>
  </si>
  <si>
    <t>13./ Ciróka Bábszínház</t>
  </si>
  <si>
    <t>14./ Kecskeméti Televízió</t>
  </si>
  <si>
    <t>15./ Piac és Vásárigazgatóság</t>
  </si>
  <si>
    <t xml:space="preserve">                   151 Kecskeméti Közterület-felügyelet</t>
  </si>
  <si>
    <t>16./ Kecskemét Megyei Jogú Város Hivatásos Önkormányzati Tűzoltósága</t>
  </si>
  <si>
    <t>17./ Polgármesteri Hivatal</t>
  </si>
  <si>
    <t xml:space="preserve">                   feladatait (kiadások, bevételek) címenként a 2. és 3. számú táblázat tartalmazza</t>
  </si>
  <si>
    <t>2007   évi      előirányzat</t>
  </si>
  <si>
    <t>2008. évi előirányzatok</t>
  </si>
  <si>
    <t>2008  évi   előirányzat  összesen</t>
  </si>
  <si>
    <t>Megjegyzés, Hivatkozás</t>
  </si>
  <si>
    <t>Eredeti</t>
  </si>
  <si>
    <t>Várható teljesítés 2007.12.31.</t>
  </si>
  <si>
    <t>Áthúzódó bevétel</t>
  </si>
  <si>
    <t>Konkrét feladathoz kapcs. bevétel</t>
  </si>
  <si>
    <t>Központi ktgv-ből származó forrás</t>
  </si>
  <si>
    <t>Önkorm. sajátos bevételei</t>
  </si>
  <si>
    <t>Egyéb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</si>
  <si>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</si>
  <si>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</si>
  <si>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</si>
  <si>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</si>
  <si>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</si>
  <si>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</si>
  <si>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</si>
  <si>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</si>
  <si>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</si>
  <si>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</si>
  <si>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</si>
  <si>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</si>
  <si>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</si>
  <si>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I. MŰKÖDÉSI BEVÉTELEK</t>
  </si>
  <si>
    <t xml:space="preserve">A. INTÉZMÉNYI MŰKÖDÉSI BEVÉTELEK           </t>
  </si>
  <si>
    <t>1.) Hatósági jogkörhöz köthető működési bevételek</t>
  </si>
  <si>
    <t>2.) Egyéb saját bevételek</t>
  </si>
  <si>
    <t>3.) Kamatbevételek</t>
  </si>
  <si>
    <t>4.) Általános forgalmi adó bevételek, -visszatérülések</t>
  </si>
  <si>
    <t>B. ÖNKORMÁNYZATOK SAJÁTOS MŰKÖDÉSI BEVÉTELE</t>
  </si>
  <si>
    <t>1.) Illetékek</t>
  </si>
  <si>
    <t>2.) Helyi adók</t>
  </si>
  <si>
    <t>3.) Átengedett központi adók</t>
  </si>
  <si>
    <t>4.) Bírságok, pótlékok és egyéb sajátos bevételek</t>
  </si>
  <si>
    <t xml:space="preserve">II. FELHALMOZÁSI ÉS TŐKE JELLEGŰ BEVÉTELEK  </t>
  </si>
  <si>
    <t>1.) Tárgyi eszközök, immateriális javak értékesítése, részletfiz.</t>
  </si>
  <si>
    <t>2.) Önkormányzatok sajátos felhalmozási és tőkebevételei</t>
  </si>
  <si>
    <t>3.) Pénzügyi befektetések bevételei</t>
  </si>
  <si>
    <t xml:space="preserve">III. TÁMOGATÁSÉRTÉKŰ BEVÉTELEK               </t>
  </si>
  <si>
    <t>1.) Támogatásértékű működési bevétel</t>
  </si>
  <si>
    <t>2.) Támogatásértékű felhalmozási bevétel</t>
  </si>
  <si>
    <t xml:space="preserve">IV. VÉGLEGESEN ÁTVETT PÉNZESZKÖZÖK          </t>
  </si>
  <si>
    <t>1.) Működési célú pénzeszközátvétel</t>
  </si>
  <si>
    <t>2.) Felhalmozási célú pénzeszközátvétel</t>
  </si>
  <si>
    <t>8520 Lakóépületek felújítása /Társasházaktól/</t>
  </si>
  <si>
    <t>8520 Lakóépületek felújítása 2006/2007./Társasházaktól/</t>
  </si>
  <si>
    <t>V. KÖZPONTI KÖLTSÉGVETÉSBŐL KAPOTT TÁMOGATÁS</t>
  </si>
  <si>
    <t>1.) Normatív állami hozzájárulás</t>
  </si>
  <si>
    <t>2.) Normatív, kötött felhasználású támogatások</t>
  </si>
  <si>
    <t>3.) Központosított állami támogatások</t>
  </si>
  <si>
    <t>4.) Helyi önkormányzatok színházi támogatása</t>
  </si>
  <si>
    <t>5.) Fejlesztési célú támogatások</t>
  </si>
  <si>
    <t xml:space="preserve">VI. TÁMOGATÁSI KÖLCSÖNÖK VISSZATÉRÜLÉSE     </t>
  </si>
  <si>
    <t xml:space="preserve">VII. PÉNZMARADVÁNY IGÉNYBEVÉTELE             </t>
  </si>
  <si>
    <t>1.) Működési célú felhasználás</t>
  </si>
  <si>
    <t>2.) Felhalmozási célú felhasználás</t>
  </si>
  <si>
    <t>KÖLTSÉGVETÉSI BEVÉTELEK MINDÖSSZESEN (I-VIII)</t>
  </si>
  <si>
    <t xml:space="preserve">VIII. HITELFELVÉTEL   , KÖTVÉNY                       </t>
  </si>
  <si>
    <t>IX. folyószámla hitelkeret igénybevétel</t>
  </si>
  <si>
    <t>X. előző havi záró pénzállomány</t>
  </si>
  <si>
    <t>BEVÉTELEK MINDÖSSZESEN (I-X.):</t>
  </si>
  <si>
    <t xml:space="preserve"> </t>
  </si>
  <si>
    <t>XI. MŰKÖDÉSI CÉLÚ  KIADÁSOK</t>
  </si>
  <si>
    <t>XII.FELHALMOZÁSI CÉLÚ  KIADÁSOK</t>
  </si>
  <si>
    <t>XIII. Adósságszolgálat (kamat és tőke)</t>
  </si>
  <si>
    <t xml:space="preserve">FINANSZÍROZÁSI KIADÁSOK </t>
  </si>
  <si>
    <t>1.) működési (kamat+tőke)</t>
  </si>
  <si>
    <t>működési hitel törlesztés</t>
  </si>
  <si>
    <t>2.) fejlesztési (kamat+tőke)</t>
  </si>
  <si>
    <t>fejlesztési hitel törlesztés</t>
  </si>
  <si>
    <t>KIADÁSOK MINDÖSSZESEN (XI-XIV.)</t>
  </si>
  <si>
    <t>Egyenleg (havi záróállomány)</t>
  </si>
  <si>
    <t>M e g n e v e z é s</t>
  </si>
  <si>
    <t>sor-szám</t>
  </si>
  <si>
    <t>2008. év</t>
  </si>
  <si>
    <t>2009. év</t>
  </si>
  <si>
    <t>2010. év</t>
  </si>
  <si>
    <t>I. Működési bevételek és kiadások</t>
  </si>
  <si>
    <t>Önkormányzatok sajátos működési bevételei</t>
  </si>
  <si>
    <t xml:space="preserve">Önkormányzatok költségvetési támogatása </t>
  </si>
  <si>
    <t>Működésű célú pénzeszközátvétel államháztartáson kívülről</t>
  </si>
  <si>
    <t>Támogatásértékű működési bevétel</t>
  </si>
  <si>
    <t>Rövid lejáratú hitel felvétel</t>
  </si>
  <si>
    <t>Rövid lejáratú értékpapírok értékesítése, kibocsátása</t>
  </si>
  <si>
    <t>-</t>
  </si>
  <si>
    <t>Működési célú előző évi pénzmaradvány igénybevétele</t>
  </si>
  <si>
    <t xml:space="preserve">Működési célú bevételek ö s s z e s e n  </t>
  </si>
  <si>
    <t>Személyi juttatások</t>
  </si>
  <si>
    <t xml:space="preserve">Dologi kiadások és egyéb folyó kiadások </t>
  </si>
  <si>
    <t>Működési célú pénzeszközátadás államháztartáson kívülre, egyéb támogatás</t>
  </si>
  <si>
    <t>Szociálpolitikai juttatások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</si>
  <si>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</si>
  <si>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</si>
  <si>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</si>
  <si>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</si>
  <si>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</si>
  <si>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 xml:space="preserve">Működési célú kiadások ö s s z e s e n  </t>
  </si>
  <si>
    <t>II. Felhalmozási célú bevételek és kiadások</t>
  </si>
  <si>
    <t xml:space="preserve">Önkormányzatok felhalmozási és tőke jellegű bevételei </t>
  </si>
  <si>
    <t>Önkormányzatok sajátos felhalmozási és tőke bevételei</t>
  </si>
  <si>
    <t xml:space="preserve"> Önkormányzatok költségvetési támogatása (Fejlesztési célú támogatások) </t>
  </si>
  <si>
    <t>Felhalmozási célú pénzeszközátvétel államháztartáson kívülről</t>
  </si>
  <si>
    <t>Támogatásértékű felhalmozási bevétel</t>
  </si>
  <si>
    <t>Felhalmozási áfa visszatérülése</t>
  </si>
  <si>
    <t>Értékesített tárgyi eszközök és immateriális javak áfa-ja</t>
  </si>
  <si>
    <t>Támogatási kölcsönök visszatérülése, igénybevétele</t>
  </si>
  <si>
    <t>Hosszú lejáratú hitel</t>
  </si>
  <si>
    <t>Hosszú lejáratú értékpapírok kibocsátása</t>
  </si>
  <si>
    <t>Felhalmozási célú előző évi pénzmaradvány igénybevétele</t>
  </si>
  <si>
    <t xml:space="preserve">Felhalmozási célú bevételek ö s s z e s e n  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</si>
  <si>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</si>
  <si>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</si>
  <si>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</si>
  <si>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pénzeszközátadás államháztartáson kívülre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</si>
  <si>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</si>
  <si>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</si>
  <si>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</si>
  <si>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</si>
  <si>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 xml:space="preserve">Felhalmozási célú kiadások ö s s z e s e n </t>
  </si>
  <si>
    <t xml:space="preserve">Önkormányzat bevételei Ö S S Z E S E N </t>
  </si>
  <si>
    <t xml:space="preserve">Önkormányzat kiadásai Ö S S Z E S E N </t>
  </si>
  <si>
    <t>Feladat</t>
  </si>
  <si>
    <t>2007. évi teljesítés</t>
  </si>
  <si>
    <t>2008. évi    terv</t>
  </si>
  <si>
    <t>2009. évi számított</t>
  </si>
  <si>
    <t>2010. évi számított</t>
  </si>
  <si>
    <t>Hó- és síkosságmentesítés 478/2004.(IX.1.)KH</t>
  </si>
  <si>
    <t>Támogatásértékű kiadások</t>
  </si>
  <si>
    <t>Bács-Kiskun Megyei Önkormányzat Katona József Könyvtára működéséhez hozzájárulás 153/2000.(III.29.) KH.</t>
  </si>
  <si>
    <t>Pénzeszközátadások</t>
  </si>
  <si>
    <t>Kecskeméti Sportlétesítményeket Működtető Kht.tevékenységének támogatása 550/2001.(IX.12.)KH.</t>
  </si>
  <si>
    <t>Katonatelepi Lombos utcában lévő játszókert üzemeltetése  512/2002. (IX. 11.) KH. - pénzeszközátadás a Katonatelep Ifjúságáért Alapítvány részére</t>
  </si>
  <si>
    <t>Kecskeméti Sportlétesítményeket Működtető Kht.: Városi Sportcsarnok bővítéséhez kapcsolódóan hőszolgáltató rendszer bővítése 542/2006.(VII.10.)KH</t>
  </si>
  <si>
    <t>Magyar Máltai Szeretetszolgálat Egyesület részére támogatás a Családok Átmeneti Otthona működtetéséhez</t>
  </si>
  <si>
    <t>Városi adományraktár működtetésének támogatása (Máltai Szeretetszolgálat)  149/2001. (III. 28.) KH.</t>
  </si>
  <si>
    <t>Együttműködés a Máltai Szeretetszolgálattal 517/2002.(IX. 11.) KH.</t>
  </si>
  <si>
    <t>Népkonyhai étkeztetés, Máltai Szeretetszolgálattal kötendő szerződés alapján   772/2003.(XII.17.)KH.</t>
  </si>
  <si>
    <t>Nemzetközi gyermek-találkozó megrendezésének támogatása (Európa Jövője Egyesület) 460/2004.(IX.1.)KH</t>
  </si>
  <si>
    <t>Kecskeméti Animációs Filmfesztivál támogatása 621/2005.(IX.28.)KH</t>
  </si>
  <si>
    <t>Bács-Kiskun Megyei Nemzetközi Kerámia Stúdió Kht.tevékenységének támogatása 614/2004.(X.20.)KH</t>
  </si>
  <si>
    <t>Bozsó Gyűjtemény Alapítvány támogatása 747/2004.(XII. 15.) KH</t>
  </si>
  <si>
    <t>Leskowsky Hangszergyűjtemény Közalapítvány támogatása 226/1999. (IV. 7.) KH.</t>
  </si>
  <si>
    <t>Kecskeméti Szimfónikus Zenekar Kht.támogatása 505/2003. (X. 1.) KH.</t>
  </si>
  <si>
    <t>Aranykor Időskorúak Alapítvány támogatása 101/2000.(III. 8.) KH.</t>
  </si>
  <si>
    <t xml:space="preserve">Csatlakozás a Bursa Hungarica Felsőoktatási Önkormányzati Ösztöndíjrendszerhez </t>
  </si>
  <si>
    <t>Víziközmű Társulat működéséhez hozzájárulás 100/2006. (II.8.)KH</t>
  </si>
  <si>
    <t>Beruházások</t>
  </si>
  <si>
    <t>Elektronikus közigazgatási szolgáltatások bevezetése Kecskeméten és környékén (rendszerkövetés)</t>
  </si>
  <si>
    <t xml:space="preserve">Duna-Tisza -közi Nagytérség Szilárdhulladék Gazdálkodási Rendszer </t>
  </si>
  <si>
    <t>Adósságszolgálati kötelezettség</t>
  </si>
  <si>
    <t>Lakossági kezdeményezésre önkormányzati részvétellel, víziközmű társulat útján megvalósuló közműépítésekhez igénybe vett hitel törlesztő részlete és kamatkiadása</t>
  </si>
  <si>
    <t>BÁCSVÍZ ZRt-vel – az ISPA beruházás megvalósíthatósága (95 %-os fogyasztói rákötés) érdekében -  kötött kölcsönszerződésből eredő kötelezettség 521/2007.(XI.29.)KH</t>
  </si>
  <si>
    <t>ÖSSZESEN:</t>
  </si>
  <si>
    <t>A többéves kihatással járó döntések nagy részét olyan támogatások jelentik, amelyek a város számára fontos tevékenységet folytató, főképp a kultúra, közművelődés területén szereplő, illetve önkormányzati feladatot ellátó szervezetek részére nyújt az önkormányzat alapító okiratban, együttműködési megállapodásban, közszolgáltatási szerződésben foglaltak alapján.</t>
  </si>
  <si>
    <t>Ezek közül kiemelkedik a Bács-Kiskun Megyei Katona József Könyvtár működtetéséhez való hozzájárulás, a Kecskeméti Sportlétesítményeket Működtető KHT támogatása, de jelentős összeget képvisel az Európa Jövője Egyesület részére a nemzetközi gyermektalálkozó megrendezéséhez, a Magyar Máltati Szeretetszolgálat részére szociális feladatok ellátásához nyújtandó támogatás. A Kecskeméti Szimfónikus Zenekar KHT működéséhez való hozzájárulás közszolgáltatási szerződés keretében történik.</t>
  </si>
  <si>
    <t xml:space="preserve">A döntések pénzügyi hatását tekintve a kötelezettségek másik nagy részét az előző években felvett hitelek törlesztése és a kamatfizetési kötelezettség (adósságszolgálat) képezi.                                                                                                              </t>
  </si>
  <si>
    <t>GVOP-2005-4.4.2 "A szélessávú hálózatok önkormányzatok általi kiépítésének támogatása Magyarország üzletileg kevésbé vonzó településein"</t>
  </si>
  <si>
    <t>A program költségvetése</t>
  </si>
  <si>
    <t>Előző években pénzügyileg teljesített</t>
  </si>
  <si>
    <t>2008. évi terv</t>
  </si>
  <si>
    <t>További évekre vállalt kötelezettség</t>
  </si>
  <si>
    <t>Visszaigényelhető ÁFA (nem része a beruházás értékének)</t>
  </si>
  <si>
    <t>*55760</t>
  </si>
  <si>
    <t>*38510</t>
  </si>
  <si>
    <t>*17250</t>
  </si>
  <si>
    <t>Dologi jellegű kiadások</t>
  </si>
  <si>
    <t>Pénzeszközátadás</t>
  </si>
  <si>
    <t>Támogatás értékű kiadások</t>
  </si>
  <si>
    <t>Kölcsönök</t>
  </si>
  <si>
    <t>KIADÁS ÖSSZESEN</t>
  </si>
  <si>
    <t xml:space="preserve">EU forrás </t>
  </si>
  <si>
    <t xml:space="preserve">Hazai társfinanszírozás </t>
  </si>
  <si>
    <t>BM EU Önerő Alap</t>
  </si>
  <si>
    <t>Saját erő felhasználás</t>
  </si>
  <si>
    <t>BEVÉTEL ÖSSZESEN</t>
  </si>
  <si>
    <r>
      <t>Projekthez kapcsolódó, nem támogatott kiadások</t>
    </r>
    <r>
      <rPr>
        <sz val="10"/>
        <rFont val="Arial"/>
        <family val="2"/>
      </rPr>
      <t xml:space="preserve"> (projektmenedzseri szolgáltatás)</t>
    </r>
  </si>
  <si>
    <t>GVOP-2004-4.3.1 B "Elektronikus közigazgatási szolgáltatások bevezetése Kecskeméten és környékén"</t>
  </si>
  <si>
    <t xml:space="preserve">*2005. évben folyósított támogatási előleg </t>
  </si>
  <si>
    <t xml:space="preserve">BM EU Önerő Alap / </t>
  </si>
  <si>
    <t>Saját erő</t>
  </si>
  <si>
    <t>Hitelfelvétel</t>
  </si>
  <si>
    <t>ÁFA visszaigénylés</t>
  </si>
  <si>
    <r>
      <t>Projekthez kapcsolódó, nem támogatott kiadások</t>
    </r>
    <r>
      <rPr>
        <sz val="10"/>
        <rFont val="Arial"/>
        <family val="2"/>
      </rPr>
      <t xml:space="preserve"> </t>
    </r>
  </si>
  <si>
    <t>Szerver szoba kialakítása</t>
  </si>
  <si>
    <t>Rendszerkövetés (5 évig évi bruttó 80.352 E Ft)</t>
  </si>
  <si>
    <t>Változáskövetés (iktató program vásárlás)</t>
  </si>
  <si>
    <t xml:space="preserve">Nyomtatók vásárlása </t>
  </si>
  <si>
    <t>KIOP-2004.1.3.0.F-2005-08-0001/2 "Komplex építési és bontási (inert) hulladékgazdálkodási rendszer kidolgozása Kecskemét és a társuló települések részére"</t>
  </si>
  <si>
    <t>*56799</t>
  </si>
  <si>
    <t>*54467</t>
  </si>
  <si>
    <t>*419</t>
  </si>
  <si>
    <t>EU forrás  75%                          / Strukturális Alap /</t>
  </si>
  <si>
    <t>Hazai társfinanszírozás 20%</t>
  </si>
  <si>
    <t>Saját erő 5%</t>
  </si>
  <si>
    <r>
      <t>Projekthez kapcsolódó, nem támogatott kiadások</t>
    </r>
    <r>
      <rPr>
        <sz val="10"/>
        <rFont val="Arial"/>
        <family val="2"/>
      </rPr>
      <t xml:space="preserve"> (pályázati dokumentáció átdolgozása, eszközbeszerzés)</t>
    </r>
  </si>
  <si>
    <t>Duna-Tisza-közi Nagytérség Szilárdhulladék Gazdálkodási Rendszer ISPA projekthez való befizetések ütemezése</t>
  </si>
  <si>
    <t>Támogatás értékű felhalmozási kiadások</t>
  </si>
  <si>
    <t xml:space="preserve">Hazai társfinanszírozás /  BM EU Önerő Alap / </t>
  </si>
  <si>
    <t>Előző évi támogatás felhasználása</t>
  </si>
  <si>
    <r>
      <t>Projekthez kapcsolódó, nem támogatott kiadások</t>
    </r>
    <r>
      <rPr>
        <sz val="10"/>
        <rFont val="Arial"/>
        <family val="2"/>
      </rPr>
      <t xml:space="preserve"> (a konzorcum működéséhez való hozzájárulás, hulladékgűjtő edényzetek tárolása, régészeti feltárás)</t>
    </r>
  </si>
  <si>
    <t>ISPA 2003/HU/16/P/PE/019 "Kecskemét város agglomerációjának csatornázási és szennyvízkezelési programja"</t>
  </si>
  <si>
    <t>2008. évi várható teljesítés</t>
  </si>
  <si>
    <t>További évekre vállalt</t>
  </si>
  <si>
    <t>*701177</t>
  </si>
  <si>
    <t>*378339</t>
  </si>
  <si>
    <t>*322838</t>
  </si>
  <si>
    <t>Hazai társfinanszírozás</t>
  </si>
  <si>
    <t xml:space="preserve">*2005.évi BM támogatás </t>
  </si>
  <si>
    <t>Konzorcium tag önkormányzatok befizetései</t>
  </si>
  <si>
    <r>
      <t>Projekthez kapcsolódó, nem támogatott kiadások</t>
    </r>
    <r>
      <rPr>
        <sz val="10"/>
        <rFont val="Arial"/>
        <family val="2"/>
      </rPr>
      <t xml:space="preserve"> (tervezési költségek, projektmenedzseri, szakértői tevékenység, könyvvizsgálói díj)</t>
    </r>
  </si>
  <si>
    <t>Kis ISPA</t>
  </si>
  <si>
    <t>HEFOP-4.2.1-P-2004-10-101/4.0 "Tündérház Bölcsödék"</t>
  </si>
  <si>
    <t xml:space="preserve">BM EU Önerő Alap </t>
  </si>
  <si>
    <t>HEFOP/2004/3.2.2 Térségi Integrált Szakképző Központok létrehozása</t>
  </si>
  <si>
    <t>2006. évben az önkormányzat által bonyolított felújítás teljesítése</t>
  </si>
  <si>
    <t>Támogatás megelőlegezése</t>
  </si>
  <si>
    <t>TISZK KHT-tól működési c. kölcsön visszatérülése</t>
  </si>
  <si>
    <t>A projekt megvalósításához kapcsolódó, nem támogatott kiadások (banki kezelési ktgek, FEB tagok tiszteletdíja, anyag- és kisértékű eszkötbeszerzések költsége)</t>
  </si>
  <si>
    <t>HEFOP/2004/ 4.1.1 Térségi Integrált Szakképző Központok infrastrukturális feltételeinek javítása</t>
  </si>
  <si>
    <t>TISZK KHT-tól fejl.c. kölcsön visszatérülése</t>
  </si>
  <si>
    <t>Tekintettel arra, hogy a pályázati programok kedvezményezettje a TISZK KHT, itt csak az önkormányzati önerő felhasználása kerül bemutatásra</t>
  </si>
  <si>
    <t>Önerő felhasználásának ütemezése</t>
  </si>
  <si>
    <t>Önerő Alap megelőlegezése</t>
  </si>
  <si>
    <t xml:space="preserve">A projekt megvalósításához kapcsolódó, nem támogatott kiadások </t>
  </si>
  <si>
    <t>Alapítói tőke átadás</t>
  </si>
  <si>
    <t>KHT által felfett hitelhez kapcsolódó kamatkiadás</t>
  </si>
  <si>
    <t>Banki kezelési ktgek, FEB tagok tiszteletdíja, anyag- és kisértékű eszkötbeszerzések költsége</t>
  </si>
  <si>
    <t xml:space="preserve">Építési beruházás többletköltségéhez való hozzájárulás </t>
  </si>
  <si>
    <t>Központi képzőhely működési költsége</t>
  </si>
  <si>
    <t>Leonardo Harvest Projekt</t>
  </si>
  <si>
    <t>Tárgyévi terv</t>
  </si>
  <si>
    <t>EU forrás/Strukturális Alap</t>
  </si>
  <si>
    <t>ÁFA visszatérülés</t>
  </si>
  <si>
    <t>HEFOP 3.1.3. a kompetencia alapú oktatás bevezetése és elterjesztése</t>
  </si>
  <si>
    <t>Személyi juttatás és járulékai</t>
  </si>
  <si>
    <t>Saját bevétel</t>
  </si>
  <si>
    <t>TIOP pályázat</t>
  </si>
  <si>
    <t>COMENIUS iskolai együttműködések</t>
  </si>
  <si>
    <t>COMENIUS előkészítő támogatás</t>
  </si>
  <si>
    <t>HEFOP 3.1.3.-05/1-2005</t>
  </si>
  <si>
    <t>COMENIUS Iskolai Együttműködések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</si>
</sst>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#"/>
    <numFmt numFmtId="168" formatCode="0.00"/>
    <numFmt numFmtId="169" formatCode="#,##0.00"/>
    <numFmt numFmtId="170" formatCode="@"/>
    <numFmt numFmtId="171" formatCode="0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0"/>
      <name val="Brooklyn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sz val="9"/>
      <name val="Lucida Sans Unicode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0"/>
      <name val="Lucida Sans Unicode"/>
      <family val="2"/>
    </font>
    <font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sz val="10"/>
      <color indexed="8"/>
      <name val="Arial CE"/>
      <family val="2"/>
    </font>
    <font>
      <b/>
      <sz val="12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name val="Arial CE"/>
      <family val="2"/>
    </font>
    <font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" fillId="0" borderId="0">
      <alignment/>
      <protection/>
    </xf>
    <xf numFmtId="164" fontId="14" fillId="0" borderId="0">
      <alignment/>
      <protection/>
    </xf>
    <xf numFmtId="164" fontId="0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" fillId="0" borderId="0">
      <alignment/>
      <protection/>
    </xf>
    <xf numFmtId="164" fontId="1" fillId="0" borderId="0">
      <alignment vertical="top"/>
      <protection/>
    </xf>
    <xf numFmtId="164" fontId="14" fillId="0" borderId="0">
      <alignment/>
      <protection/>
    </xf>
    <xf numFmtId="164" fontId="15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4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23" borderId="0" applyNumberFormat="0" applyBorder="0" applyAlignment="0" applyProtection="0"/>
    <xf numFmtId="164" fontId="19" fillId="22" borderId="1" applyNumberFormat="0" applyAlignment="0" applyProtection="0"/>
  </cellStyleXfs>
  <cellXfs count="427">
    <xf numFmtId="164" fontId="0" fillId="0" borderId="0" xfId="0" applyAlignment="1">
      <alignment/>
    </xf>
    <xf numFmtId="164" fontId="20" fillId="0" borderId="0" xfId="58" applyFont="1">
      <alignment/>
      <protection/>
    </xf>
    <xf numFmtId="165" fontId="14" fillId="0" borderId="0" xfId="58" applyNumberFormat="1">
      <alignment/>
      <protection/>
    </xf>
    <xf numFmtId="165" fontId="20" fillId="0" borderId="0" xfId="58" applyNumberFormat="1" applyFont="1">
      <alignment/>
      <protection/>
    </xf>
    <xf numFmtId="165" fontId="20" fillId="0" borderId="0" xfId="58" applyNumberFormat="1" applyFont="1" applyFill="1">
      <alignment/>
      <protection/>
    </xf>
    <xf numFmtId="164" fontId="14" fillId="0" borderId="0" xfId="58">
      <alignment/>
      <protection/>
    </xf>
    <xf numFmtId="164" fontId="14" fillId="0" borderId="0" xfId="58" applyFill="1">
      <alignment/>
      <protection/>
    </xf>
    <xf numFmtId="164" fontId="21" fillId="0" borderId="10" xfId="58" applyFont="1" applyBorder="1" applyAlignment="1">
      <alignment horizontal="center" vertical="center" wrapText="1"/>
      <protection/>
    </xf>
    <xf numFmtId="165" fontId="20" fillId="0" borderId="11" xfId="58" applyNumberFormat="1" applyFont="1" applyBorder="1" applyAlignment="1">
      <alignment horizontal="center" vertical="center" wrapText="1"/>
      <protection/>
    </xf>
    <xf numFmtId="164" fontId="20" fillId="0" borderId="12" xfId="58" applyFont="1" applyBorder="1" applyAlignment="1">
      <alignment horizontal="center" vertical="center" wrapText="1"/>
      <protection/>
    </xf>
    <xf numFmtId="164" fontId="20" fillId="0" borderId="12" xfId="58" applyFont="1" applyFill="1" applyBorder="1" applyAlignment="1">
      <alignment horizontal="center" vertical="center" wrapText="1"/>
      <protection/>
    </xf>
    <xf numFmtId="165" fontId="20" fillId="0" borderId="13" xfId="58" applyNumberFormat="1" applyFont="1" applyBorder="1" applyAlignment="1">
      <alignment horizontal="center" vertical="center" wrapText="1"/>
      <protection/>
    </xf>
    <xf numFmtId="164" fontId="20" fillId="0" borderId="14" xfId="58" applyFont="1" applyBorder="1" applyAlignment="1">
      <alignment horizontal="left" vertical="center" wrapText="1"/>
      <protection/>
    </xf>
    <xf numFmtId="165" fontId="20" fillId="0" borderId="13" xfId="58" applyNumberFormat="1" applyFont="1" applyBorder="1" applyAlignment="1">
      <alignment horizontal="right" vertical="center" wrapText="1"/>
      <protection/>
    </xf>
    <xf numFmtId="165" fontId="20" fillId="0" borderId="15" xfId="58" applyNumberFormat="1" applyFont="1" applyBorder="1" applyAlignment="1">
      <alignment horizontal="right" vertical="center" wrapText="1"/>
      <protection/>
    </xf>
    <xf numFmtId="165" fontId="20" fillId="0" borderId="15" xfId="58" applyNumberFormat="1" applyFont="1" applyFill="1" applyBorder="1" applyAlignment="1">
      <alignment horizontal="right" vertical="center" wrapText="1"/>
      <protection/>
    </xf>
    <xf numFmtId="164" fontId="1" fillId="0" borderId="16" xfId="58" applyFont="1" applyBorder="1">
      <alignment/>
      <protection/>
    </xf>
    <xf numFmtId="165" fontId="1" fillId="0" borderId="17" xfId="58" applyNumberFormat="1" applyFont="1" applyBorder="1">
      <alignment/>
      <protection/>
    </xf>
    <xf numFmtId="165" fontId="1" fillId="0" borderId="18" xfId="58" applyNumberFormat="1" applyFont="1" applyBorder="1">
      <alignment/>
      <protection/>
    </xf>
    <xf numFmtId="165" fontId="1" fillId="0" borderId="18" xfId="58" applyNumberFormat="1" applyFont="1" applyFill="1" applyBorder="1">
      <alignment/>
      <protection/>
    </xf>
    <xf numFmtId="165" fontId="1" fillId="0" borderId="19" xfId="58" applyNumberFormat="1" applyFont="1" applyFill="1" applyBorder="1">
      <alignment/>
      <protection/>
    </xf>
    <xf numFmtId="164" fontId="22" fillId="0" borderId="16" xfId="58" applyFont="1" applyBorder="1" applyAlignment="1">
      <alignment horizontal="left" indent="2"/>
      <protection/>
    </xf>
    <xf numFmtId="165" fontId="22" fillId="0" borderId="17" xfId="58" applyNumberFormat="1" applyFont="1" applyBorder="1">
      <alignment/>
      <protection/>
    </xf>
    <xf numFmtId="165" fontId="22" fillId="0" borderId="17" xfId="58" applyNumberFormat="1" applyFont="1" applyBorder="1" applyAlignment="1">
      <alignment horizontal="right"/>
      <protection/>
    </xf>
    <xf numFmtId="165" fontId="22" fillId="0" borderId="18" xfId="58" applyNumberFormat="1" applyFont="1" applyBorder="1" applyAlignment="1">
      <alignment horizontal="right"/>
      <protection/>
    </xf>
    <xf numFmtId="165" fontId="22" fillId="0" borderId="19" xfId="58" applyNumberFormat="1" applyFont="1" applyFill="1" applyBorder="1" applyAlignment="1">
      <alignment horizontal="right"/>
      <protection/>
    </xf>
    <xf numFmtId="165" fontId="22" fillId="0" borderId="18" xfId="58" applyNumberFormat="1" applyFont="1" applyFill="1" applyBorder="1" applyAlignment="1">
      <alignment horizontal="right"/>
      <protection/>
    </xf>
    <xf numFmtId="165" fontId="1" fillId="0" borderId="17" xfId="58" applyNumberFormat="1" applyFont="1" applyBorder="1" applyAlignment="1">
      <alignment horizontal="right"/>
      <protection/>
    </xf>
    <xf numFmtId="165" fontId="1" fillId="0" borderId="18" xfId="58" applyNumberFormat="1" applyFont="1" applyBorder="1" applyAlignment="1">
      <alignment horizontal="right"/>
      <protection/>
    </xf>
    <xf numFmtId="165" fontId="1" fillId="0" borderId="19" xfId="58" applyNumberFormat="1" applyFont="1" applyFill="1" applyBorder="1" applyAlignment="1">
      <alignment horizontal="right"/>
      <protection/>
    </xf>
    <xf numFmtId="164" fontId="23" fillId="0" borderId="0" xfId="58" applyFont="1">
      <alignment/>
      <protection/>
    </xf>
    <xf numFmtId="164" fontId="24" fillId="0" borderId="16" xfId="58" applyFont="1" applyFill="1" applyBorder="1" applyAlignment="1">
      <alignment horizontal="left" indent="2"/>
      <protection/>
    </xf>
    <xf numFmtId="165" fontId="25" fillId="0" borderId="17" xfId="58" applyNumberFormat="1" applyFont="1" applyFill="1" applyBorder="1">
      <alignment/>
      <protection/>
    </xf>
    <xf numFmtId="165" fontId="25" fillId="0" borderId="17" xfId="58" applyNumberFormat="1" applyFont="1" applyFill="1" applyBorder="1" applyAlignment="1">
      <alignment horizontal="right"/>
      <protection/>
    </xf>
    <xf numFmtId="165" fontId="25" fillId="0" borderId="18" xfId="58" applyNumberFormat="1" applyFont="1" applyFill="1" applyBorder="1" applyAlignment="1">
      <alignment horizontal="right"/>
      <protection/>
    </xf>
    <xf numFmtId="165" fontId="25" fillId="0" borderId="19" xfId="58" applyNumberFormat="1" applyFont="1" applyFill="1" applyBorder="1" applyAlignment="1">
      <alignment horizontal="right"/>
      <protection/>
    </xf>
    <xf numFmtId="164" fontId="1" fillId="0" borderId="16" xfId="58" applyFont="1" applyFill="1" applyBorder="1">
      <alignment/>
      <protection/>
    </xf>
    <xf numFmtId="165" fontId="1" fillId="0" borderId="17" xfId="58" applyNumberFormat="1" applyFont="1" applyFill="1" applyBorder="1">
      <alignment/>
      <protection/>
    </xf>
    <xf numFmtId="165" fontId="1" fillId="0" borderId="17" xfId="58" applyNumberFormat="1" applyFont="1" applyFill="1" applyBorder="1" applyAlignment="1">
      <alignment horizontal="right"/>
      <protection/>
    </xf>
    <xf numFmtId="165" fontId="1" fillId="0" borderId="18" xfId="58" applyNumberFormat="1" applyFont="1" applyFill="1" applyBorder="1" applyAlignment="1">
      <alignment horizontal="right"/>
      <protection/>
    </xf>
    <xf numFmtId="165" fontId="26" fillId="0" borderId="19" xfId="58" applyNumberFormat="1" applyFont="1" applyFill="1" applyBorder="1" applyAlignment="1">
      <alignment horizontal="right"/>
      <protection/>
    </xf>
    <xf numFmtId="164" fontId="14" fillId="0" borderId="0" xfId="58" applyFont="1" applyFill="1">
      <alignment/>
      <protection/>
    </xf>
    <xf numFmtId="165" fontId="14" fillId="0" borderId="18" xfId="58" applyNumberFormat="1" applyBorder="1">
      <alignment/>
      <protection/>
    </xf>
    <xf numFmtId="165" fontId="14" fillId="0" borderId="18" xfId="58" applyNumberFormat="1" applyFill="1" applyBorder="1">
      <alignment/>
      <protection/>
    </xf>
    <xf numFmtId="165" fontId="14" fillId="0" borderId="17" xfId="58" applyNumberFormat="1" applyBorder="1">
      <alignment/>
      <protection/>
    </xf>
    <xf numFmtId="164" fontId="24" fillId="0" borderId="16" xfId="58" applyFont="1" applyBorder="1">
      <alignment/>
      <protection/>
    </xf>
    <xf numFmtId="165" fontId="27" fillId="0" borderId="18" xfId="58" applyNumberFormat="1" applyFont="1" applyBorder="1" applyAlignment="1">
      <alignment horizontal="right"/>
      <protection/>
    </xf>
    <xf numFmtId="165" fontId="27" fillId="0" borderId="18" xfId="58" applyNumberFormat="1" applyFont="1" applyFill="1" applyBorder="1" applyAlignment="1">
      <alignment horizontal="right"/>
      <protection/>
    </xf>
    <xf numFmtId="165" fontId="1" fillId="0" borderId="20" xfId="58" applyNumberFormat="1" applyFont="1" applyBorder="1" applyAlignment="1">
      <alignment horizontal="right"/>
      <protection/>
    </xf>
    <xf numFmtId="164" fontId="20" fillId="0" borderId="14" xfId="58" applyFont="1" applyBorder="1">
      <alignment/>
      <protection/>
    </xf>
    <xf numFmtId="165" fontId="20" fillId="0" borderId="13" xfId="58" applyNumberFormat="1" applyFont="1" applyBorder="1">
      <alignment/>
      <protection/>
    </xf>
    <xf numFmtId="165" fontId="20" fillId="0" borderId="13" xfId="58" applyNumberFormat="1" applyFont="1" applyBorder="1" applyAlignment="1">
      <alignment horizontal="right"/>
      <protection/>
    </xf>
    <xf numFmtId="165" fontId="20" fillId="0" borderId="15" xfId="58" applyNumberFormat="1" applyFont="1" applyBorder="1" applyAlignment="1">
      <alignment horizontal="right"/>
      <protection/>
    </xf>
    <xf numFmtId="165" fontId="20" fillId="0" borderId="15" xfId="58" applyNumberFormat="1" applyFont="1" applyFill="1" applyBorder="1" applyAlignment="1">
      <alignment horizontal="right"/>
      <protection/>
    </xf>
    <xf numFmtId="165" fontId="20" fillId="0" borderId="15" xfId="58" applyNumberFormat="1" applyFont="1" applyBorder="1">
      <alignment/>
      <protection/>
    </xf>
    <xf numFmtId="165" fontId="20" fillId="0" borderId="15" xfId="58" applyNumberFormat="1" applyFont="1" applyFill="1" applyBorder="1">
      <alignment/>
      <protection/>
    </xf>
    <xf numFmtId="165" fontId="1" fillId="0" borderId="16" xfId="58" applyNumberFormat="1" applyFont="1" applyBorder="1">
      <alignment/>
      <protection/>
    </xf>
    <xf numFmtId="165" fontId="1" fillId="0" borderId="11" xfId="58" applyNumberFormat="1" applyFont="1" applyBorder="1">
      <alignment/>
      <protection/>
    </xf>
    <xf numFmtId="165" fontId="1" fillId="0" borderId="11" xfId="58" applyNumberFormat="1" applyFont="1" applyBorder="1" applyAlignment="1">
      <alignment horizontal="right"/>
      <protection/>
    </xf>
    <xf numFmtId="164" fontId="1" fillId="0" borderId="16" xfId="58" applyFont="1" applyBorder="1" applyAlignment="1">
      <alignment horizontal="left"/>
      <protection/>
    </xf>
    <xf numFmtId="164" fontId="21" fillId="0" borderId="21" xfId="58" applyFont="1" applyBorder="1" applyAlignment="1">
      <alignment vertical="center"/>
      <protection/>
    </xf>
    <xf numFmtId="165" fontId="20" fillId="0" borderId="20" xfId="58" applyNumberFormat="1" applyFont="1" applyBorder="1" applyAlignment="1">
      <alignment vertical="center"/>
      <protection/>
    </xf>
    <xf numFmtId="165" fontId="20" fillId="0" borderId="20" xfId="58" applyNumberFormat="1" applyFont="1" applyBorder="1" applyAlignment="1">
      <alignment horizontal="right" vertical="center"/>
      <protection/>
    </xf>
    <xf numFmtId="165" fontId="20" fillId="0" borderId="22" xfId="58" applyNumberFormat="1" applyFont="1" applyBorder="1" applyAlignment="1">
      <alignment horizontal="right" vertical="center"/>
      <protection/>
    </xf>
    <xf numFmtId="165" fontId="20" fillId="0" borderId="22" xfId="58" applyNumberFormat="1" applyFont="1" applyFill="1" applyBorder="1" applyAlignment="1">
      <alignment horizontal="right" vertical="center"/>
      <protection/>
    </xf>
    <xf numFmtId="165" fontId="20" fillId="0" borderId="22" xfId="58" applyNumberFormat="1" applyFont="1" applyBorder="1" applyAlignment="1">
      <alignment vertical="center"/>
      <protection/>
    </xf>
    <xf numFmtId="165" fontId="20" fillId="0" borderId="22" xfId="58" applyNumberFormat="1" applyFont="1" applyFill="1" applyBorder="1" applyAlignment="1">
      <alignment vertical="center"/>
      <protection/>
    </xf>
    <xf numFmtId="164" fontId="20" fillId="0" borderId="0" xfId="61" applyFont="1">
      <alignment/>
      <protection/>
    </xf>
    <xf numFmtId="164" fontId="1" fillId="0" borderId="0" xfId="61">
      <alignment/>
      <protection/>
    </xf>
    <xf numFmtId="165" fontId="1" fillId="0" borderId="0" xfId="61" applyNumberFormat="1">
      <alignment/>
      <protection/>
    </xf>
    <xf numFmtId="164" fontId="28" fillId="0" borderId="10" xfId="61" applyFont="1" applyBorder="1" applyAlignment="1">
      <alignment horizontal="center" vertical="center" wrapText="1"/>
      <protection/>
    </xf>
    <xf numFmtId="164" fontId="20" fillId="0" borderId="23" xfId="61" applyFont="1" applyBorder="1" applyAlignment="1">
      <alignment horizontal="center" vertical="center" wrapText="1"/>
      <protection/>
    </xf>
    <xf numFmtId="165" fontId="20" fillId="0" borderId="11" xfId="61" applyNumberFormat="1" applyFont="1" applyBorder="1" applyAlignment="1">
      <alignment horizontal="center" vertical="center" wrapText="1"/>
      <protection/>
    </xf>
    <xf numFmtId="165" fontId="20" fillId="0" borderId="12" xfId="61" applyNumberFormat="1" applyFont="1" applyBorder="1" applyAlignment="1">
      <alignment horizontal="center" vertical="center" wrapText="1"/>
      <protection/>
    </xf>
    <xf numFmtId="164" fontId="28" fillId="0" borderId="14" xfId="61" applyFont="1" applyBorder="1" applyAlignment="1">
      <alignment horizontal="center" vertical="center" wrapText="1"/>
      <protection/>
    </xf>
    <xf numFmtId="165" fontId="20" fillId="0" borderId="14" xfId="61" applyNumberFormat="1" applyFont="1" applyBorder="1" applyAlignment="1">
      <alignment vertical="center"/>
      <protection/>
    </xf>
    <xf numFmtId="165" fontId="21" fillId="0" borderId="13" xfId="61" applyNumberFormat="1" applyFont="1" applyBorder="1" applyAlignment="1">
      <alignment horizontal="right" vertical="center"/>
      <protection/>
    </xf>
    <xf numFmtId="165" fontId="21" fillId="0" borderId="15" xfId="61" applyNumberFormat="1" applyFont="1" applyBorder="1" applyAlignment="1">
      <alignment horizontal="right" vertical="center"/>
      <protection/>
    </xf>
    <xf numFmtId="165" fontId="21" fillId="0" borderId="24" xfId="61" applyNumberFormat="1" applyFont="1" applyBorder="1" applyAlignment="1">
      <alignment horizontal="right" vertical="center"/>
      <protection/>
    </xf>
    <xf numFmtId="164" fontId="20" fillId="0" borderId="16" xfId="61" applyFont="1" applyBorder="1" applyAlignment="1">
      <alignment vertical="center" wrapText="1"/>
      <protection/>
    </xf>
    <xf numFmtId="165" fontId="29" fillId="0" borderId="25" xfId="61" applyNumberFormat="1" applyFont="1" applyBorder="1" applyAlignment="1">
      <alignment horizontal="right" vertical="center"/>
      <protection/>
    </xf>
    <xf numFmtId="165" fontId="29" fillId="0" borderId="26" xfId="61" applyNumberFormat="1" applyFont="1" applyBorder="1" applyAlignment="1">
      <alignment horizontal="right" vertical="center" wrapText="1"/>
      <protection/>
    </xf>
    <xf numFmtId="164" fontId="1" fillId="0" borderId="16" xfId="61" applyFont="1" applyBorder="1" applyAlignment="1">
      <alignment vertical="center" wrapText="1"/>
      <protection/>
    </xf>
    <xf numFmtId="165" fontId="29" fillId="0" borderId="17" xfId="61" applyNumberFormat="1" applyFont="1" applyBorder="1" applyAlignment="1">
      <alignment horizontal="right" vertical="center"/>
      <protection/>
    </xf>
    <xf numFmtId="165" fontId="29" fillId="0" borderId="27" xfId="61" applyNumberFormat="1" applyFont="1" applyBorder="1" applyAlignment="1">
      <alignment horizontal="right" vertical="center"/>
      <protection/>
    </xf>
    <xf numFmtId="165" fontId="29" fillId="0" borderId="18" xfId="61" applyNumberFormat="1" applyFont="1" applyBorder="1" applyAlignment="1">
      <alignment horizontal="right" vertical="center"/>
      <protection/>
    </xf>
    <xf numFmtId="165" fontId="29" fillId="0" borderId="25" xfId="61" applyNumberFormat="1" applyFont="1" applyBorder="1" applyAlignment="1">
      <alignment horizontal="right" vertical="center" wrapText="1"/>
      <protection/>
    </xf>
    <xf numFmtId="164" fontId="1" fillId="0" borderId="0" xfId="61" applyNumberFormat="1">
      <alignment/>
      <protection/>
    </xf>
    <xf numFmtId="164" fontId="30" fillId="0" borderId="16" xfId="61" applyFont="1" applyBorder="1" applyAlignment="1">
      <alignment horizontal="left" vertical="top" wrapText="1" indent="1"/>
      <protection/>
    </xf>
    <xf numFmtId="165" fontId="31" fillId="0" borderId="25" xfId="61" applyNumberFormat="1" applyFont="1" applyBorder="1" applyAlignment="1">
      <alignment horizontal="right" vertical="center" wrapText="1"/>
      <protection/>
    </xf>
    <xf numFmtId="165" fontId="31" fillId="0" borderId="26" xfId="61" applyNumberFormat="1" applyFont="1" applyBorder="1" applyAlignment="1">
      <alignment horizontal="right" vertical="center" wrapText="1"/>
      <protection/>
    </xf>
    <xf numFmtId="164" fontId="1" fillId="0" borderId="16" xfId="61" applyFont="1" applyBorder="1" applyAlignment="1">
      <alignment vertical="center"/>
      <protection/>
    </xf>
    <xf numFmtId="166" fontId="29" fillId="0" borderId="18" xfId="61" applyNumberFormat="1" applyFont="1" applyBorder="1" applyAlignment="1">
      <alignment horizontal="right" vertical="center"/>
      <protection/>
    </xf>
    <xf numFmtId="164" fontId="20" fillId="0" borderId="14" xfId="61" applyFont="1" applyBorder="1" applyAlignment="1">
      <alignment vertical="center"/>
      <protection/>
    </xf>
    <xf numFmtId="165" fontId="21" fillId="0" borderId="28" xfId="61" applyNumberFormat="1" applyFont="1" applyBorder="1" applyAlignment="1">
      <alignment horizontal="right" vertical="center"/>
      <protection/>
    </xf>
    <xf numFmtId="165" fontId="21" fillId="0" borderId="29" xfId="61" applyNumberFormat="1" applyFont="1" applyBorder="1" applyAlignment="1">
      <alignment horizontal="right" vertical="center"/>
      <protection/>
    </xf>
    <xf numFmtId="164" fontId="1" fillId="0" borderId="14" xfId="61" applyFont="1" applyBorder="1" applyAlignment="1">
      <alignment vertical="center"/>
      <protection/>
    </xf>
    <xf numFmtId="165" fontId="27" fillId="0" borderId="13" xfId="61" applyNumberFormat="1" applyFont="1" applyBorder="1" applyAlignment="1">
      <alignment horizontal="right" vertical="center"/>
      <protection/>
    </xf>
    <xf numFmtId="165" fontId="1" fillId="0" borderId="24" xfId="61" applyNumberFormat="1" applyFont="1" applyBorder="1" applyAlignment="1">
      <alignment horizontal="right" vertical="center"/>
      <protection/>
    </xf>
    <xf numFmtId="165" fontId="1" fillId="0" borderId="15" xfId="61" applyNumberFormat="1" applyFont="1" applyBorder="1" applyAlignment="1">
      <alignment horizontal="right" vertical="center"/>
      <protection/>
    </xf>
    <xf numFmtId="164" fontId="20" fillId="0" borderId="21" xfId="61" applyFont="1" applyBorder="1" applyAlignment="1">
      <alignment vertical="center"/>
      <protection/>
    </xf>
    <xf numFmtId="165" fontId="21" fillId="0" borderId="20" xfId="61" applyNumberFormat="1" applyFont="1" applyBorder="1" applyAlignment="1">
      <alignment horizontal="right" vertical="center"/>
      <protection/>
    </xf>
    <xf numFmtId="165" fontId="21" fillId="0" borderId="30" xfId="61" applyNumberFormat="1" applyFont="1" applyBorder="1" applyAlignment="1">
      <alignment horizontal="right" vertical="center"/>
      <protection/>
    </xf>
    <xf numFmtId="165" fontId="21" fillId="0" borderId="22" xfId="61" applyNumberFormat="1" applyFont="1" applyBorder="1" applyAlignment="1">
      <alignment horizontal="right" vertical="center"/>
      <protection/>
    </xf>
    <xf numFmtId="165" fontId="1" fillId="0" borderId="0" xfId="61" applyNumberFormat="1" applyBorder="1">
      <alignment/>
      <protection/>
    </xf>
    <xf numFmtId="167" fontId="1" fillId="0" borderId="0" xfId="61" applyNumberFormat="1">
      <alignment/>
      <protection/>
    </xf>
    <xf numFmtId="164" fontId="27" fillId="0" borderId="16" xfId="61" applyFont="1" applyBorder="1" applyAlignment="1">
      <alignment horizontal="left" vertical="center" wrapText="1"/>
      <protection/>
    </xf>
    <xf numFmtId="165" fontId="27" fillId="0" borderId="25" xfId="61" applyNumberFormat="1" applyFont="1" applyBorder="1" applyAlignment="1">
      <alignment horizontal="right" vertical="center" wrapText="1"/>
      <protection/>
    </xf>
    <xf numFmtId="165" fontId="1" fillId="0" borderId="13" xfId="61" applyNumberFormat="1" applyFont="1" applyBorder="1" applyAlignment="1">
      <alignment horizontal="right" vertical="center"/>
      <protection/>
    </xf>
    <xf numFmtId="164" fontId="1" fillId="0" borderId="0" xfId="57">
      <alignment/>
      <protection/>
    </xf>
    <xf numFmtId="165" fontId="32" fillId="24" borderId="31" xfId="57" applyNumberFormat="1" applyFont="1" applyFill="1" applyBorder="1" applyAlignment="1" applyProtection="1">
      <alignment horizontal="center" vertical="center" wrapText="1"/>
      <protection/>
    </xf>
    <xf numFmtId="164" fontId="32" fillId="0" borderId="31" xfId="57" applyFont="1" applyBorder="1" applyAlignment="1">
      <alignment horizontal="center" vertical="center" wrapText="1"/>
      <protection/>
    </xf>
    <xf numFmtId="164" fontId="33" fillId="0" borderId="32" xfId="57" applyFont="1" applyBorder="1" applyAlignment="1">
      <alignment horizontal="left" vertical="center" wrapText="1"/>
      <protection/>
    </xf>
    <xf numFmtId="164" fontId="33" fillId="0" borderId="33" xfId="57" applyFont="1" applyBorder="1">
      <alignment/>
      <protection/>
    </xf>
    <xf numFmtId="165" fontId="33" fillId="0" borderId="19" xfId="57" applyNumberFormat="1" applyFont="1" applyBorder="1" applyAlignment="1">
      <alignment horizontal="right"/>
      <protection/>
    </xf>
    <xf numFmtId="165" fontId="33" fillId="0" borderId="26" xfId="57" applyNumberFormat="1" applyFont="1" applyBorder="1" applyAlignment="1">
      <alignment horizontal="right"/>
      <protection/>
    </xf>
    <xf numFmtId="164" fontId="33" fillId="0" borderId="34" xfId="57" applyFont="1" applyBorder="1">
      <alignment/>
      <protection/>
    </xf>
    <xf numFmtId="165" fontId="33" fillId="0" borderId="32" xfId="57" applyNumberFormat="1" applyFont="1" applyFill="1" applyBorder="1">
      <alignment/>
      <protection/>
    </xf>
    <xf numFmtId="165" fontId="33" fillId="0" borderId="32" xfId="57" applyNumberFormat="1" applyFont="1" applyBorder="1" applyAlignment="1">
      <alignment horizontal="right"/>
      <protection/>
    </xf>
    <xf numFmtId="164" fontId="33" fillId="0" borderId="31" xfId="57" applyFont="1" applyBorder="1" applyAlignment="1">
      <alignment horizontal="left" vertical="center" wrapText="1"/>
      <protection/>
    </xf>
    <xf numFmtId="164" fontId="33" fillId="0" borderId="35" xfId="57" applyFont="1" applyBorder="1">
      <alignment/>
      <protection/>
    </xf>
    <xf numFmtId="165" fontId="33" fillId="0" borderId="36" xfId="57" applyNumberFormat="1" applyFont="1" applyBorder="1" applyAlignment="1">
      <alignment horizontal="right"/>
      <protection/>
    </xf>
    <xf numFmtId="165" fontId="33" fillId="0" borderId="32" xfId="57" applyNumberFormat="1" applyFont="1" applyFill="1" applyBorder="1" applyAlignment="1">
      <alignment horizontal="right"/>
      <protection/>
    </xf>
    <xf numFmtId="164" fontId="33" fillId="0" borderId="19" xfId="57" applyFont="1" applyBorder="1" applyAlignment="1">
      <alignment horizontal="left" vertical="center" wrapText="1"/>
      <protection/>
    </xf>
    <xf numFmtId="165" fontId="33" fillId="0" borderId="37" xfId="57" applyNumberFormat="1" applyFont="1" applyBorder="1" applyAlignment="1">
      <alignment horizontal="right"/>
      <protection/>
    </xf>
    <xf numFmtId="164" fontId="32" fillId="0" borderId="31" xfId="57" applyFont="1" applyBorder="1" applyAlignment="1">
      <alignment horizontal="left" vertical="center" wrapText="1"/>
      <protection/>
    </xf>
    <xf numFmtId="164" fontId="32" fillId="0" borderId="38" xfId="57" applyFont="1" applyBorder="1">
      <alignment/>
      <protection/>
    </xf>
    <xf numFmtId="165" fontId="32" fillId="0" borderId="32" xfId="57" applyNumberFormat="1" applyFont="1" applyBorder="1" applyAlignment="1">
      <alignment horizontal="right"/>
      <protection/>
    </xf>
    <xf numFmtId="165" fontId="32" fillId="0" borderId="39" xfId="57" applyNumberFormat="1" applyFont="1" applyBorder="1" applyAlignment="1">
      <alignment horizontal="right"/>
      <protection/>
    </xf>
    <xf numFmtId="165" fontId="32" fillId="0" borderId="19" xfId="57" applyNumberFormat="1" applyFont="1" applyBorder="1" applyAlignment="1">
      <alignment horizontal="right"/>
      <protection/>
    </xf>
    <xf numFmtId="165" fontId="32" fillId="0" borderId="26" xfId="57" applyNumberFormat="1" applyFont="1" applyBorder="1" applyAlignment="1">
      <alignment horizontal="right"/>
      <protection/>
    </xf>
    <xf numFmtId="164" fontId="32" fillId="0" borderId="33" xfId="57" applyFont="1" applyBorder="1">
      <alignment/>
      <protection/>
    </xf>
    <xf numFmtId="165" fontId="32" fillId="0" borderId="36" xfId="57" applyNumberFormat="1" applyFont="1" applyBorder="1" applyAlignment="1">
      <alignment horizontal="right"/>
      <protection/>
    </xf>
    <xf numFmtId="165" fontId="32" fillId="0" borderId="37" xfId="57" applyNumberFormat="1" applyFont="1" applyBorder="1" applyAlignment="1">
      <alignment horizontal="right"/>
      <protection/>
    </xf>
    <xf numFmtId="164" fontId="32" fillId="0" borderId="38" xfId="57" applyFont="1" applyBorder="1" applyAlignment="1">
      <alignment horizontal="left" vertical="center" wrapText="1"/>
      <protection/>
    </xf>
    <xf numFmtId="165" fontId="32" fillId="0" borderId="31" xfId="57" applyNumberFormat="1" applyFont="1" applyBorder="1" applyAlignment="1">
      <alignment horizontal="right"/>
      <protection/>
    </xf>
    <xf numFmtId="164" fontId="33" fillId="0" borderId="31" xfId="57" applyFont="1" applyBorder="1" applyAlignment="1">
      <alignment horizontal="left" vertical="center"/>
      <protection/>
    </xf>
    <xf numFmtId="165" fontId="32" fillId="0" borderId="29" xfId="57" applyNumberFormat="1" applyFont="1" applyBorder="1" applyAlignment="1">
      <alignment horizontal="right"/>
      <protection/>
    </xf>
    <xf numFmtId="164" fontId="32" fillId="0" borderId="34" xfId="57" applyFont="1" applyBorder="1">
      <alignment/>
      <protection/>
    </xf>
    <xf numFmtId="165" fontId="33" fillId="0" borderId="32" xfId="57" applyNumberFormat="1" applyFont="1" applyFill="1" applyBorder="1" applyAlignment="1" applyProtection="1">
      <alignment horizontal="right"/>
      <protection locked="0"/>
    </xf>
    <xf numFmtId="165" fontId="33" fillId="0" borderId="32" xfId="57" applyNumberFormat="1" applyFont="1" applyFill="1" applyBorder="1" applyAlignment="1" applyProtection="1">
      <alignment horizontal="right" vertical="center"/>
      <protection locked="0"/>
    </xf>
    <xf numFmtId="165" fontId="33" fillId="0" borderId="19" xfId="57" applyNumberFormat="1" applyFont="1" applyFill="1" applyBorder="1" applyAlignment="1" applyProtection="1">
      <alignment horizontal="right" vertical="center"/>
      <protection locked="0"/>
    </xf>
    <xf numFmtId="164" fontId="33" fillId="0" borderId="36" xfId="57" applyFont="1" applyBorder="1" applyAlignment="1">
      <alignment horizontal="left" vertical="center" wrapText="1"/>
      <protection/>
    </xf>
    <xf numFmtId="165" fontId="34" fillId="0" borderId="19" xfId="57" applyNumberFormat="1" applyFont="1" applyFill="1" applyBorder="1" applyAlignment="1" applyProtection="1">
      <alignment horizontal="right"/>
      <protection locked="0"/>
    </xf>
    <xf numFmtId="165" fontId="34" fillId="0" borderId="19" xfId="57" applyNumberFormat="1" applyFont="1" applyFill="1" applyBorder="1" applyAlignment="1" applyProtection="1">
      <alignment horizontal="right" vertical="center"/>
      <protection locked="0"/>
    </xf>
    <xf numFmtId="165" fontId="32" fillId="0" borderId="40" xfId="57" applyNumberFormat="1" applyFont="1" applyBorder="1" applyAlignment="1">
      <alignment horizontal="right"/>
      <protection/>
    </xf>
    <xf numFmtId="165" fontId="32" fillId="0" borderId="41" xfId="57" applyNumberFormat="1" applyFont="1" applyBorder="1" applyAlignment="1">
      <alignment horizontal="right"/>
      <protection/>
    </xf>
    <xf numFmtId="164" fontId="32" fillId="0" borderId="32" xfId="57" applyFont="1" applyBorder="1" applyAlignment="1">
      <alignment horizontal="left" vertical="center" wrapText="1"/>
      <protection/>
    </xf>
    <xf numFmtId="165" fontId="32" fillId="0" borderId="32" xfId="57" applyNumberFormat="1" applyFont="1" applyFill="1" applyBorder="1" applyAlignment="1" applyProtection="1">
      <alignment horizontal="right"/>
      <protection locked="0"/>
    </xf>
    <xf numFmtId="165" fontId="1" fillId="0" borderId="0" xfId="57" applyNumberFormat="1">
      <alignment/>
      <protection/>
    </xf>
    <xf numFmtId="164" fontId="32" fillId="0" borderId="35" xfId="57" applyFont="1" applyBorder="1">
      <alignment/>
      <protection/>
    </xf>
    <xf numFmtId="165" fontId="33" fillId="0" borderId="31" xfId="57" applyNumberFormat="1" applyFont="1" applyBorder="1" applyAlignment="1">
      <alignment horizontal="right"/>
      <protection/>
    </xf>
    <xf numFmtId="164" fontId="32" fillId="0" borderId="31" xfId="57" applyFont="1" applyBorder="1">
      <alignment/>
      <protection/>
    </xf>
    <xf numFmtId="164" fontId="32" fillId="0" borderId="36" xfId="57" applyFont="1" applyBorder="1" applyAlignment="1">
      <alignment horizontal="left" vertical="center" wrapText="1"/>
      <protection/>
    </xf>
    <xf numFmtId="165" fontId="32" fillId="0" borderId="31" xfId="57" applyNumberFormat="1" applyFont="1" applyFill="1" applyBorder="1" applyAlignment="1">
      <alignment horizontal="right"/>
      <protection/>
    </xf>
    <xf numFmtId="165" fontId="32" fillId="0" borderId="36" xfId="57" applyNumberFormat="1" applyFont="1" applyFill="1" applyBorder="1" applyAlignment="1">
      <alignment horizontal="right"/>
      <protection/>
    </xf>
    <xf numFmtId="165" fontId="32" fillId="0" borderId="32" xfId="57" applyNumberFormat="1" applyFont="1" applyFill="1" applyBorder="1">
      <alignment/>
      <protection/>
    </xf>
    <xf numFmtId="164" fontId="32" fillId="0" borderId="35" xfId="57" applyFont="1" applyBorder="1" applyAlignment="1">
      <alignment horizontal="left" vertical="center" wrapText="1"/>
      <protection/>
    </xf>
    <xf numFmtId="164" fontId="33" fillId="0" borderId="38" xfId="57" applyFont="1" applyBorder="1" applyAlignment="1">
      <alignment horizontal="left" vertical="center" wrapText="1"/>
      <protection/>
    </xf>
    <xf numFmtId="165" fontId="33" fillId="0" borderId="36" xfId="57" applyNumberFormat="1" applyFont="1" applyBorder="1" applyAlignment="1">
      <alignment horizontal="right" wrapText="1"/>
      <protection/>
    </xf>
    <xf numFmtId="165" fontId="33" fillId="0" borderId="32" xfId="57" applyNumberFormat="1" applyFont="1" applyBorder="1" applyAlignment="1">
      <alignment horizontal="right" wrapText="1"/>
      <protection/>
    </xf>
    <xf numFmtId="164" fontId="33" fillId="0" borderId="34" xfId="57" applyFont="1" applyBorder="1" applyAlignment="1">
      <alignment horizontal="left" vertical="center" wrapText="1"/>
      <protection/>
    </xf>
    <xf numFmtId="165" fontId="33" fillId="0" borderId="19" xfId="57" applyNumberFormat="1" applyFont="1" applyBorder="1" applyAlignment="1">
      <alignment horizontal="right" wrapText="1"/>
      <protection/>
    </xf>
    <xf numFmtId="164" fontId="32" fillId="0" borderId="32" xfId="57" applyFont="1" applyBorder="1">
      <alignment/>
      <protection/>
    </xf>
    <xf numFmtId="165" fontId="32" fillId="0" borderId="38" xfId="57" applyNumberFormat="1" applyFont="1" applyBorder="1" applyAlignment="1">
      <alignment horizontal="right"/>
      <protection/>
    </xf>
    <xf numFmtId="165" fontId="32" fillId="24" borderId="36" xfId="57" applyNumberFormat="1" applyFont="1" applyFill="1" applyBorder="1" applyAlignment="1" applyProtection="1">
      <alignment horizontal="center" vertical="center" wrapText="1"/>
      <protection/>
    </xf>
    <xf numFmtId="165" fontId="33" fillId="0" borderId="36" xfId="57" applyNumberFormat="1" applyFont="1" applyBorder="1">
      <alignment/>
      <protection/>
    </xf>
    <xf numFmtId="165" fontId="33" fillId="0" borderId="19" xfId="57" applyNumberFormat="1" applyFont="1" applyBorder="1">
      <alignment/>
      <protection/>
    </xf>
    <xf numFmtId="165" fontId="35" fillId="0" borderId="32" xfId="57" applyNumberFormat="1" applyFont="1" applyFill="1" applyBorder="1">
      <alignment/>
      <protection/>
    </xf>
    <xf numFmtId="165" fontId="33" fillId="0" borderId="26" xfId="57" applyNumberFormat="1" applyFont="1" applyBorder="1">
      <alignment/>
      <protection/>
    </xf>
    <xf numFmtId="165" fontId="33" fillId="0" borderId="39" xfId="57" applyNumberFormat="1" applyFont="1" applyFill="1" applyBorder="1">
      <alignment/>
      <protection/>
    </xf>
    <xf numFmtId="165" fontId="33" fillId="0" borderId="37" xfId="57" applyNumberFormat="1" applyFont="1" applyBorder="1">
      <alignment/>
      <protection/>
    </xf>
    <xf numFmtId="165" fontId="33" fillId="0" borderId="32" xfId="57" applyNumberFormat="1" applyFont="1" applyBorder="1">
      <alignment/>
      <protection/>
    </xf>
    <xf numFmtId="165" fontId="32" fillId="0" borderId="32" xfId="57" applyNumberFormat="1" applyFont="1" applyBorder="1">
      <alignment/>
      <protection/>
    </xf>
    <xf numFmtId="165" fontId="32" fillId="0" borderId="39" xfId="57" applyNumberFormat="1" applyFont="1" applyBorder="1">
      <alignment/>
      <protection/>
    </xf>
    <xf numFmtId="165" fontId="32" fillId="0" borderId="19" xfId="57" applyNumberFormat="1" applyFont="1" applyBorder="1">
      <alignment/>
      <protection/>
    </xf>
    <xf numFmtId="165" fontId="32" fillId="0" borderId="26" xfId="57" applyNumberFormat="1" applyFont="1" applyBorder="1">
      <alignment/>
      <protection/>
    </xf>
    <xf numFmtId="165" fontId="32" fillId="0" borderId="31" xfId="57" applyNumberFormat="1" applyFont="1" applyBorder="1">
      <alignment/>
      <protection/>
    </xf>
    <xf numFmtId="165" fontId="32" fillId="0" borderId="29" xfId="57" applyNumberFormat="1" applyFont="1" applyBorder="1">
      <alignment/>
      <protection/>
    </xf>
    <xf numFmtId="165" fontId="33" fillId="0" borderId="39" xfId="57" applyNumberFormat="1" applyFont="1" applyBorder="1">
      <alignment/>
      <protection/>
    </xf>
    <xf numFmtId="165" fontId="1" fillId="0" borderId="19" xfId="57" applyNumberFormat="1" applyBorder="1">
      <alignment/>
      <protection/>
    </xf>
    <xf numFmtId="165" fontId="1" fillId="0" borderId="36" xfId="57" applyNumberFormat="1" applyBorder="1">
      <alignment/>
      <protection/>
    </xf>
    <xf numFmtId="165" fontId="33" fillId="0" borderId="32" xfId="57" applyNumberFormat="1" applyFont="1" applyFill="1" applyBorder="1" applyProtection="1">
      <alignment/>
      <protection locked="0"/>
    </xf>
    <xf numFmtId="165" fontId="33" fillId="0" borderId="39" xfId="57" applyNumberFormat="1" applyFont="1" applyFill="1" applyBorder="1" applyProtection="1">
      <alignment/>
      <protection locked="0"/>
    </xf>
    <xf numFmtId="164" fontId="1" fillId="0" borderId="0" xfId="57" applyFont="1">
      <alignment/>
      <protection/>
    </xf>
    <xf numFmtId="165" fontId="32" fillId="0" borderId="34" xfId="57" applyNumberFormat="1" applyFont="1" applyBorder="1">
      <alignment/>
      <protection/>
    </xf>
    <xf numFmtId="165" fontId="32" fillId="0" borderId="33" xfId="57" applyNumberFormat="1" applyFont="1" applyBorder="1">
      <alignment/>
      <protection/>
    </xf>
    <xf numFmtId="165" fontId="32" fillId="0" borderId="0" xfId="57" applyNumberFormat="1" applyFont="1" applyBorder="1">
      <alignment/>
      <protection/>
    </xf>
    <xf numFmtId="165" fontId="32" fillId="0" borderId="36" xfId="57" applyNumberFormat="1" applyFont="1" applyBorder="1">
      <alignment/>
      <protection/>
    </xf>
    <xf numFmtId="165" fontId="32" fillId="0" borderId="35" xfId="57" applyNumberFormat="1" applyFont="1" applyBorder="1">
      <alignment/>
      <protection/>
    </xf>
    <xf numFmtId="165" fontId="32" fillId="0" borderId="23" xfId="57" applyNumberFormat="1" applyFont="1" applyBorder="1">
      <alignment/>
      <protection/>
    </xf>
    <xf numFmtId="165" fontId="32" fillId="0" borderId="37" xfId="57" applyNumberFormat="1" applyFont="1" applyBorder="1">
      <alignment/>
      <protection/>
    </xf>
    <xf numFmtId="165" fontId="32" fillId="0" borderId="32" xfId="57" applyNumberFormat="1" applyFont="1" applyFill="1" applyBorder="1" applyAlignment="1" applyProtection="1">
      <alignment/>
      <protection locked="0"/>
    </xf>
    <xf numFmtId="165" fontId="33" fillId="0" borderId="35" xfId="57" applyNumberFormat="1" applyFont="1" applyBorder="1">
      <alignment/>
      <protection/>
    </xf>
    <xf numFmtId="165" fontId="33" fillId="0" borderId="33" xfId="57" applyNumberFormat="1" applyFont="1" applyBorder="1">
      <alignment/>
      <protection/>
    </xf>
    <xf numFmtId="165" fontId="33" fillId="0" borderId="34" xfId="57" applyNumberFormat="1" applyFont="1" applyBorder="1">
      <alignment/>
      <protection/>
    </xf>
    <xf numFmtId="164" fontId="33" fillId="0" borderId="36" xfId="57" applyFont="1" applyBorder="1">
      <alignment/>
      <protection/>
    </xf>
    <xf numFmtId="164" fontId="33" fillId="0" borderId="19" xfId="57" applyFont="1" applyBorder="1">
      <alignment/>
      <protection/>
    </xf>
    <xf numFmtId="164" fontId="33" fillId="0" borderId="32" xfId="57" applyFont="1" applyBorder="1">
      <alignment/>
      <protection/>
    </xf>
    <xf numFmtId="165" fontId="32" fillId="0" borderId="36" xfId="57" applyNumberFormat="1" applyFont="1" applyFill="1" applyBorder="1">
      <alignment/>
      <protection/>
    </xf>
    <xf numFmtId="165" fontId="32" fillId="0" borderId="31" xfId="57" applyNumberFormat="1" applyFont="1" applyFill="1" applyBorder="1">
      <alignment/>
      <protection/>
    </xf>
    <xf numFmtId="164" fontId="33" fillId="0" borderId="0" xfId="57" applyFont="1">
      <alignment/>
      <protection/>
    </xf>
    <xf numFmtId="164" fontId="32" fillId="0" borderId="36" xfId="57" applyFont="1" applyBorder="1">
      <alignment/>
      <protection/>
    </xf>
    <xf numFmtId="165" fontId="33" fillId="0" borderId="36" xfId="57" applyNumberFormat="1" applyFont="1" applyBorder="1" applyAlignment="1">
      <alignment wrapText="1"/>
      <protection/>
    </xf>
    <xf numFmtId="165" fontId="33" fillId="0" borderId="32" xfId="57" applyNumberFormat="1" applyFont="1" applyBorder="1" applyAlignment="1">
      <alignment wrapText="1"/>
      <protection/>
    </xf>
    <xf numFmtId="165" fontId="33" fillId="0" borderId="19" xfId="57" applyNumberFormat="1" applyFont="1" applyBorder="1" applyAlignment="1">
      <alignment/>
      <protection/>
    </xf>
    <xf numFmtId="164" fontId="32" fillId="0" borderId="19" xfId="57" applyFont="1" applyBorder="1">
      <alignment/>
      <protection/>
    </xf>
    <xf numFmtId="165" fontId="32" fillId="0" borderId="19" xfId="57" applyNumberFormat="1" applyFont="1" applyFill="1" applyBorder="1">
      <alignment/>
      <protection/>
    </xf>
    <xf numFmtId="164" fontId="1" fillId="0" borderId="0" xfId="57" applyFill="1">
      <alignment/>
      <protection/>
    </xf>
    <xf numFmtId="165" fontId="32" fillId="0" borderId="38" xfId="57" applyNumberFormat="1" applyFont="1" applyFill="1" applyBorder="1" applyAlignment="1" applyProtection="1">
      <alignment horizontal="center" vertical="center" wrapText="1"/>
      <protection/>
    </xf>
    <xf numFmtId="164" fontId="33" fillId="0" borderId="38" xfId="57" applyFont="1" applyFill="1" applyBorder="1" applyAlignment="1">
      <alignment horizontal="center" vertical="center"/>
      <protection/>
    </xf>
    <xf numFmtId="164" fontId="33" fillId="0" borderId="36" xfId="57" applyFont="1" applyFill="1" applyBorder="1" applyAlignment="1">
      <alignment horizontal="center" vertical="center" wrapText="1"/>
      <protection/>
    </xf>
    <xf numFmtId="164" fontId="33" fillId="0" borderId="32" xfId="57" applyFont="1" applyFill="1" applyBorder="1" applyAlignment="1">
      <alignment horizontal="center" vertical="center" wrapText="1"/>
      <protection/>
    </xf>
    <xf numFmtId="164" fontId="33" fillId="0" borderId="34" xfId="57" applyFont="1" applyFill="1" applyBorder="1" applyAlignment="1">
      <alignment horizontal="center" vertical="center" wrapText="1"/>
      <protection/>
    </xf>
    <xf numFmtId="164" fontId="33" fillId="0" borderId="31" xfId="57" applyFont="1" applyFill="1" applyBorder="1" applyAlignment="1">
      <alignment horizontal="center" vertical="center" wrapText="1"/>
      <protection/>
    </xf>
    <xf numFmtId="164" fontId="33" fillId="0" borderId="38" xfId="57" applyFont="1" applyFill="1" applyBorder="1" applyAlignment="1">
      <alignment horizontal="center" vertical="center" wrapText="1"/>
      <protection/>
    </xf>
    <xf numFmtId="164" fontId="33" fillId="0" borderId="36" xfId="57" applyFont="1" applyFill="1" applyBorder="1" applyAlignment="1">
      <alignment horizontal="left" wrapText="1"/>
      <protection/>
    </xf>
    <xf numFmtId="168" fontId="33" fillId="0" borderId="19" xfId="57" applyNumberFormat="1" applyFont="1" applyFill="1" applyBorder="1" applyAlignment="1">
      <alignment/>
      <protection/>
    </xf>
    <xf numFmtId="168" fontId="33" fillId="0" borderId="33" xfId="57" applyNumberFormat="1" applyFont="1" applyFill="1" applyBorder="1" applyAlignment="1">
      <alignment/>
      <protection/>
    </xf>
    <xf numFmtId="169" fontId="33" fillId="0" borderId="33" xfId="57" applyNumberFormat="1" applyFont="1" applyFill="1" applyBorder="1" applyAlignment="1">
      <alignment/>
      <protection/>
    </xf>
    <xf numFmtId="169" fontId="33" fillId="0" borderId="19" xfId="57" applyNumberFormat="1" applyFont="1" applyFill="1" applyBorder="1" applyAlignment="1">
      <alignment/>
      <protection/>
    </xf>
    <xf numFmtId="164" fontId="33" fillId="0" borderId="19" xfId="57" applyFont="1" applyFill="1" applyBorder="1" applyAlignment="1">
      <alignment/>
      <protection/>
    </xf>
    <xf numFmtId="164" fontId="1" fillId="0" borderId="0" xfId="57" applyFill="1" applyAlignment="1">
      <alignment/>
      <protection/>
    </xf>
    <xf numFmtId="164" fontId="33" fillId="0" borderId="19" xfId="57" applyFont="1" applyFill="1" applyBorder="1" applyAlignment="1">
      <alignment horizontal="left" wrapText="1"/>
      <protection/>
    </xf>
    <xf numFmtId="164" fontId="33" fillId="0" borderId="33" xfId="57" applyFont="1" applyFill="1" applyBorder="1" applyAlignment="1">
      <alignment horizontal="left" wrapText="1"/>
      <protection/>
    </xf>
    <xf numFmtId="164" fontId="1" fillId="0" borderId="19" xfId="57" applyFill="1" applyBorder="1" applyAlignment="1">
      <alignment/>
      <protection/>
    </xf>
    <xf numFmtId="164" fontId="32" fillId="0" borderId="31" xfId="57" applyFont="1" applyFill="1" applyBorder="1" applyAlignment="1">
      <alignment horizontal="left" wrapText="1"/>
      <protection/>
    </xf>
    <xf numFmtId="168" fontId="32" fillId="0" borderId="31" xfId="57" applyNumberFormat="1" applyFont="1" applyFill="1" applyBorder="1" applyAlignment="1">
      <alignment/>
      <protection/>
    </xf>
    <xf numFmtId="168" fontId="32" fillId="0" borderId="38" xfId="57" applyNumberFormat="1" applyFont="1" applyFill="1" applyBorder="1" applyAlignment="1">
      <alignment/>
      <protection/>
    </xf>
    <xf numFmtId="164" fontId="32" fillId="0" borderId="36" xfId="57" applyFont="1" applyFill="1" applyBorder="1" applyAlignment="1">
      <alignment horizontal="left" wrapText="1"/>
      <protection/>
    </xf>
    <xf numFmtId="168" fontId="32" fillId="0" borderId="19" xfId="57" applyNumberFormat="1" applyFont="1" applyFill="1" applyBorder="1" applyAlignment="1">
      <alignment/>
      <protection/>
    </xf>
    <xf numFmtId="168" fontId="32" fillId="0" borderId="33" xfId="57" applyNumberFormat="1" applyFont="1" applyFill="1" applyBorder="1" applyAlignment="1">
      <alignment/>
      <protection/>
    </xf>
    <xf numFmtId="164" fontId="33" fillId="0" borderId="35" xfId="57" applyFont="1" applyFill="1" applyBorder="1" applyAlignment="1">
      <alignment horizontal="left" wrapText="1"/>
      <protection/>
    </xf>
    <xf numFmtId="168" fontId="33" fillId="0" borderId="36" xfId="57" applyNumberFormat="1" applyFont="1" applyFill="1" applyBorder="1" applyAlignment="1">
      <alignment/>
      <protection/>
    </xf>
    <xf numFmtId="168" fontId="33" fillId="0" borderId="35" xfId="57" applyNumberFormat="1" applyFont="1" applyFill="1" applyBorder="1" applyAlignment="1">
      <alignment/>
      <protection/>
    </xf>
    <xf numFmtId="169" fontId="33" fillId="0" borderId="35" xfId="57" applyNumberFormat="1" applyFont="1" applyFill="1" applyBorder="1" applyAlignment="1">
      <alignment/>
      <protection/>
    </xf>
    <xf numFmtId="169" fontId="33" fillId="0" borderId="36" xfId="57" applyNumberFormat="1" applyFont="1" applyFill="1" applyBorder="1" applyAlignment="1">
      <alignment/>
      <protection/>
    </xf>
    <xf numFmtId="168" fontId="33" fillId="0" borderId="32" xfId="57" applyNumberFormat="1" applyFont="1" applyFill="1" applyBorder="1" applyAlignment="1">
      <alignment/>
      <protection/>
    </xf>
    <xf numFmtId="168" fontId="33" fillId="0" borderId="34" xfId="57" applyNumberFormat="1" applyFont="1" applyFill="1" applyBorder="1" applyAlignment="1">
      <alignment/>
      <protection/>
    </xf>
    <xf numFmtId="169" fontId="33" fillId="0" borderId="34" xfId="57" applyNumberFormat="1" applyFont="1" applyFill="1" applyBorder="1" applyAlignment="1">
      <alignment/>
      <protection/>
    </xf>
    <xf numFmtId="169" fontId="33" fillId="0" borderId="32" xfId="57" applyNumberFormat="1" applyFont="1" applyFill="1" applyBorder="1" applyAlignment="1">
      <alignment/>
      <protection/>
    </xf>
    <xf numFmtId="168" fontId="32" fillId="0" borderId="32" xfId="57" applyNumberFormat="1" applyFont="1" applyFill="1" applyBorder="1" applyAlignment="1">
      <alignment/>
      <protection/>
    </xf>
    <xf numFmtId="168" fontId="32" fillId="0" borderId="34" xfId="57" applyNumberFormat="1" applyFont="1" applyFill="1" applyBorder="1" applyAlignment="1">
      <alignment/>
      <protection/>
    </xf>
    <xf numFmtId="169" fontId="32" fillId="0" borderId="38" xfId="57" applyNumberFormat="1" applyFont="1" applyFill="1" applyBorder="1" applyAlignment="1">
      <alignment/>
      <protection/>
    </xf>
    <xf numFmtId="169" fontId="32" fillId="0" borderId="31" xfId="57" applyNumberFormat="1" applyFont="1" applyFill="1" applyBorder="1" applyAlignment="1">
      <alignment/>
      <protection/>
    </xf>
    <xf numFmtId="168" fontId="32" fillId="0" borderId="29" xfId="57" applyNumberFormat="1" applyFont="1" applyFill="1" applyBorder="1" applyAlignment="1">
      <alignment/>
      <protection/>
    </xf>
    <xf numFmtId="164" fontId="32" fillId="0" borderId="32" xfId="57" applyFont="1" applyFill="1" applyBorder="1" applyAlignment="1">
      <alignment horizontal="left" wrapText="1"/>
      <protection/>
    </xf>
    <xf numFmtId="164" fontId="32" fillId="0" borderId="32" xfId="57" applyFont="1" applyFill="1" applyBorder="1" applyAlignment="1">
      <alignment wrapText="1"/>
      <protection/>
    </xf>
    <xf numFmtId="168" fontId="32" fillId="0" borderId="40" xfId="57" applyNumberFormat="1" applyFont="1" applyFill="1" applyBorder="1" applyAlignment="1">
      <alignment/>
      <protection/>
    </xf>
    <xf numFmtId="164" fontId="33" fillId="0" borderId="32" xfId="57" applyFont="1" applyFill="1" applyBorder="1" applyAlignment="1">
      <alignment horizontal="left" wrapText="1"/>
      <protection/>
    </xf>
    <xf numFmtId="164" fontId="32" fillId="0" borderId="35" xfId="57" applyFont="1" applyFill="1" applyBorder="1" applyAlignment="1">
      <alignment horizontal="left" wrapText="1"/>
      <protection/>
    </xf>
    <xf numFmtId="164" fontId="32" fillId="0" borderId="33" xfId="57" applyFont="1" applyFill="1" applyBorder="1" applyAlignment="1">
      <alignment horizontal="left" wrapText="1"/>
      <protection/>
    </xf>
    <xf numFmtId="164" fontId="32" fillId="0" borderId="38" xfId="57" applyFont="1" applyFill="1" applyBorder="1" applyAlignment="1">
      <alignment horizontal="left" wrapText="1"/>
      <protection/>
    </xf>
    <xf numFmtId="168" fontId="33" fillId="0" borderId="26" xfId="57" applyNumberFormat="1" applyFont="1" applyFill="1" applyBorder="1" applyAlignment="1">
      <alignment/>
      <protection/>
    </xf>
    <xf numFmtId="169" fontId="32" fillId="0" borderId="33" xfId="57" applyNumberFormat="1" applyFont="1" applyFill="1" applyBorder="1" applyAlignment="1">
      <alignment/>
      <protection/>
    </xf>
    <xf numFmtId="169" fontId="32" fillId="0" borderId="19" xfId="57" applyNumberFormat="1" applyFont="1" applyFill="1" applyBorder="1" applyAlignment="1">
      <alignment/>
      <protection/>
    </xf>
    <xf numFmtId="169" fontId="32" fillId="0" borderId="32" xfId="57" applyNumberFormat="1" applyFont="1" applyFill="1" applyBorder="1" applyAlignment="1">
      <alignment/>
      <protection/>
    </xf>
    <xf numFmtId="169" fontId="32" fillId="0" borderId="34" xfId="57" applyNumberFormat="1" applyFont="1" applyFill="1" applyBorder="1" applyAlignment="1">
      <alignment/>
      <protection/>
    </xf>
    <xf numFmtId="164" fontId="1" fillId="0" borderId="0" xfId="66">
      <alignment/>
      <protection/>
    </xf>
    <xf numFmtId="164" fontId="20" fillId="0" borderId="42" xfId="66" applyFont="1" applyBorder="1" applyAlignment="1">
      <alignment horizontal="center" vertical="center"/>
      <protection/>
    </xf>
    <xf numFmtId="164" fontId="20" fillId="0" borderId="42" xfId="66" applyFont="1" applyBorder="1" applyAlignment="1">
      <alignment horizontal="center" vertical="center" wrapText="1"/>
      <protection/>
    </xf>
    <xf numFmtId="164" fontId="36" fillId="0" borderId="43" xfId="66" applyFont="1" applyBorder="1" applyAlignment="1">
      <alignment horizontal="left" vertical="center"/>
      <protection/>
    </xf>
    <xf numFmtId="165" fontId="36" fillId="0" borderId="42" xfId="66" applyNumberFormat="1" applyFont="1" applyBorder="1" applyAlignment="1">
      <alignment horizontal="center"/>
      <protection/>
    </xf>
    <xf numFmtId="164" fontId="1" fillId="0" borderId="42" xfId="66" applyFont="1" applyBorder="1" applyAlignment="1">
      <alignment horizontal="left" vertical="center"/>
      <protection/>
    </xf>
    <xf numFmtId="165" fontId="1" fillId="0" borderId="42" xfId="66" applyNumberFormat="1" applyFont="1" applyBorder="1" applyAlignment="1">
      <alignment horizontal="center"/>
      <protection/>
    </xf>
    <xf numFmtId="164" fontId="1" fillId="0" borderId="43" xfId="66" applyFont="1" applyBorder="1" applyAlignment="1">
      <alignment horizontal="left" vertical="center"/>
      <protection/>
    </xf>
    <xf numFmtId="165" fontId="1" fillId="0" borderId="0" xfId="66" applyNumberFormat="1">
      <alignment/>
      <protection/>
    </xf>
    <xf numFmtId="164" fontId="36" fillId="0" borderId="42" xfId="66" applyFont="1" applyBorder="1" applyAlignment="1">
      <alignment horizontal="left" vertical="center"/>
      <protection/>
    </xf>
    <xf numFmtId="164" fontId="1" fillId="0" borderId="42" xfId="66" applyFont="1" applyBorder="1" applyAlignment="1">
      <alignment horizontal="left" vertical="center" wrapText="1"/>
      <protection/>
    </xf>
    <xf numFmtId="164" fontId="20" fillId="0" borderId="42" xfId="66" applyFont="1" applyBorder="1" applyAlignment="1">
      <alignment horizontal="left" vertical="center"/>
      <protection/>
    </xf>
    <xf numFmtId="165" fontId="20" fillId="0" borderId="42" xfId="66" applyNumberFormat="1" applyFont="1" applyBorder="1" applyAlignment="1">
      <alignment horizontal="center"/>
      <protection/>
    </xf>
    <xf numFmtId="164" fontId="36" fillId="0" borderId="42" xfId="66" applyFont="1" applyBorder="1">
      <alignment/>
      <protection/>
    </xf>
    <xf numFmtId="164" fontId="1" fillId="0" borderId="42" xfId="66" applyFont="1" applyBorder="1" applyAlignment="1">
      <alignment horizontal="left"/>
      <protection/>
    </xf>
    <xf numFmtId="164" fontId="20" fillId="0" borderId="42" xfId="66" applyFont="1" applyBorder="1">
      <alignment/>
      <protection/>
    </xf>
    <xf numFmtId="168" fontId="1" fillId="0" borderId="42" xfId="66" applyNumberFormat="1" applyFont="1" applyBorder="1" applyAlignment="1">
      <alignment horizontal="left" wrapText="1"/>
      <protection/>
    </xf>
    <xf numFmtId="164" fontId="1" fillId="0" borderId="42" xfId="66" applyFont="1" applyBorder="1">
      <alignment/>
      <protection/>
    </xf>
    <xf numFmtId="164" fontId="1" fillId="0" borderId="42" xfId="66" applyFont="1" applyBorder="1" applyAlignment="1">
      <alignment wrapText="1"/>
      <protection/>
    </xf>
    <xf numFmtId="165" fontId="1" fillId="0" borderId="42" xfId="66" applyNumberFormat="1" applyBorder="1" applyAlignment="1">
      <alignment horizontal="center"/>
      <protection/>
    </xf>
    <xf numFmtId="164" fontId="20" fillId="0" borderId="42" xfId="66" applyFont="1" applyBorder="1" applyAlignment="1">
      <alignment wrapText="1"/>
      <protection/>
    </xf>
    <xf numFmtId="164" fontId="37" fillId="0" borderId="0" xfId="66" applyFont="1">
      <alignment/>
      <protection/>
    </xf>
    <xf numFmtId="164" fontId="21" fillId="0" borderId="42" xfId="66" applyFont="1" applyBorder="1">
      <alignment/>
      <protection/>
    </xf>
    <xf numFmtId="165" fontId="21" fillId="0" borderId="42" xfId="66" applyNumberFormat="1" applyFont="1" applyBorder="1" applyAlignment="1">
      <alignment horizontal="center"/>
      <protection/>
    </xf>
    <xf numFmtId="164" fontId="1" fillId="0" borderId="42" xfId="66" applyFont="1" applyBorder="1" applyAlignment="1">
      <alignment horizontal="left" wrapText="1"/>
      <protection/>
    </xf>
    <xf numFmtId="164" fontId="28" fillId="0" borderId="42" xfId="66" applyFont="1" applyBorder="1">
      <alignment/>
      <protection/>
    </xf>
    <xf numFmtId="165" fontId="28" fillId="0" borderId="42" xfId="66" applyNumberFormat="1" applyFont="1" applyBorder="1" applyAlignment="1">
      <alignment horizontal="center"/>
      <protection/>
    </xf>
    <xf numFmtId="164" fontId="14" fillId="0" borderId="0" xfId="58" applyAlignment="1">
      <alignment horizontal="center" wrapText="1"/>
      <protection/>
    </xf>
    <xf numFmtId="164" fontId="38" fillId="0" borderId="0" xfId="58" applyFont="1" applyAlignment="1">
      <alignment horizontal="center" vertical="center" wrapText="1"/>
      <protection/>
    </xf>
    <xf numFmtId="165" fontId="38" fillId="0" borderId="0" xfId="58" applyNumberFormat="1" applyFont="1" applyAlignment="1">
      <alignment horizontal="center" vertical="center" wrapText="1"/>
      <protection/>
    </xf>
    <xf numFmtId="164" fontId="39" fillId="0" borderId="0" xfId="58" applyFont="1" applyAlignment="1">
      <alignment vertical="center" wrapText="1"/>
      <protection/>
    </xf>
    <xf numFmtId="164" fontId="0" fillId="0" borderId="0" xfId="58" applyFont="1" applyAlignment="1">
      <alignment vertical="center"/>
      <protection/>
    </xf>
    <xf numFmtId="165" fontId="14" fillId="0" borderId="0" xfId="58" applyNumberFormat="1" applyAlignment="1">
      <alignment vertical="center"/>
      <protection/>
    </xf>
    <xf numFmtId="164" fontId="0" fillId="0" borderId="0" xfId="58" applyFont="1" applyAlignment="1">
      <alignment horizontal="center" vertical="center" wrapText="1"/>
      <protection/>
    </xf>
    <xf numFmtId="164" fontId="38" fillId="0" borderId="0" xfId="58" applyFont="1" applyAlignment="1">
      <alignment vertical="center"/>
      <protection/>
    </xf>
    <xf numFmtId="165" fontId="38" fillId="0" borderId="0" xfId="58" applyNumberFormat="1" applyFont="1" applyAlignment="1">
      <alignment vertical="center"/>
      <protection/>
    </xf>
    <xf numFmtId="165" fontId="39" fillId="0" borderId="0" xfId="58" applyNumberFormat="1" applyFont="1" applyAlignment="1">
      <alignment vertical="center"/>
      <protection/>
    </xf>
    <xf numFmtId="164" fontId="0" fillId="0" borderId="0" xfId="58" applyFont="1" applyFill="1" applyAlignment="1">
      <alignment vertical="center"/>
      <protection/>
    </xf>
    <xf numFmtId="165" fontId="14" fillId="0" borderId="0" xfId="58" applyNumberFormat="1" applyFill="1" applyAlignment="1">
      <alignment vertical="center"/>
      <protection/>
    </xf>
    <xf numFmtId="165" fontId="39" fillId="0" borderId="0" xfId="58" applyNumberFormat="1" applyFont="1" applyFill="1" applyAlignment="1">
      <alignment vertical="center"/>
      <protection/>
    </xf>
    <xf numFmtId="164" fontId="0" fillId="0" borderId="0" xfId="58" applyFont="1" applyFill="1" applyAlignment="1">
      <alignment horizontal="center" vertical="center" wrapText="1"/>
      <protection/>
    </xf>
    <xf numFmtId="164" fontId="14" fillId="0" borderId="0" xfId="58" applyAlignment="1">
      <alignment horizontal="center" vertical="center"/>
      <protection/>
    </xf>
    <xf numFmtId="164" fontId="0" fillId="0" borderId="0" xfId="58" applyFont="1" applyFill="1" applyAlignment="1">
      <alignment vertical="center" wrapText="1"/>
      <protection/>
    </xf>
    <xf numFmtId="164" fontId="39" fillId="0" borderId="0" xfId="58" applyFont="1" applyAlignment="1">
      <alignment horizontal="center" vertical="center" wrapText="1"/>
      <protection/>
    </xf>
    <xf numFmtId="164" fontId="39" fillId="0" borderId="0" xfId="58" applyFont="1" applyAlignment="1">
      <alignment vertical="center"/>
      <protection/>
    </xf>
    <xf numFmtId="164" fontId="21" fillId="0" borderId="0" xfId="58" applyFont="1" applyAlignment="1">
      <alignment horizontal="left" vertical="center" wrapText="1"/>
      <protection/>
    </xf>
    <xf numFmtId="165" fontId="21" fillId="0" borderId="0" xfId="58" applyNumberFormat="1" applyFont="1" applyAlignment="1">
      <alignment horizontal="right" vertical="center" wrapText="1"/>
      <protection/>
    </xf>
    <xf numFmtId="164" fontId="21" fillId="0" borderId="0" xfId="58" applyFont="1" applyAlignment="1">
      <alignment horizontal="center" vertical="center" wrapText="1"/>
      <protection/>
    </xf>
    <xf numFmtId="164" fontId="29" fillId="0" borderId="0" xfId="58" applyFont="1" applyAlignment="1">
      <alignment horizontal="center" vertical="center" wrapText="1"/>
      <protection/>
    </xf>
    <xf numFmtId="164" fontId="14" fillId="0" borderId="0" xfId="58" applyAlignment="1">
      <alignment horizontal="left"/>
      <protection/>
    </xf>
    <xf numFmtId="164" fontId="1" fillId="0" borderId="0" xfId="58" applyFont="1">
      <alignment/>
      <protection/>
    </xf>
    <xf numFmtId="164" fontId="14" fillId="0" borderId="0" xfId="58" applyFont="1" applyAlignment="1">
      <alignment/>
      <protection/>
    </xf>
    <xf numFmtId="164" fontId="14" fillId="0" borderId="0" xfId="58" applyFont="1" applyBorder="1" applyAlignment="1">
      <alignment wrapText="1"/>
      <protection/>
    </xf>
    <xf numFmtId="164" fontId="14" fillId="0" borderId="0" xfId="58" applyFont="1" applyAlignment="1">
      <alignment vertical="center" wrapText="1"/>
      <protection/>
    </xf>
    <xf numFmtId="164" fontId="14" fillId="0" borderId="0" xfId="58" applyFont="1" applyAlignment="1">
      <alignment wrapText="1"/>
      <protection/>
    </xf>
    <xf numFmtId="164" fontId="14" fillId="0" borderId="0" xfId="58" applyFont="1" applyAlignment="1">
      <alignment horizontal="left"/>
      <protection/>
    </xf>
    <xf numFmtId="164" fontId="1" fillId="0" borderId="0" xfId="68" applyFont="1" applyFill="1" applyBorder="1">
      <alignment/>
      <protection/>
    </xf>
    <xf numFmtId="165" fontId="1" fillId="0" borderId="0" xfId="68" applyNumberFormat="1" applyFont="1" applyFill="1" applyBorder="1">
      <alignment/>
      <protection/>
    </xf>
    <xf numFmtId="164" fontId="40" fillId="0" borderId="0" xfId="68" applyFont="1" applyFill="1" applyBorder="1" applyAlignment="1">
      <alignment horizontal="center" vertical="center" wrapText="1"/>
      <protection/>
    </xf>
    <xf numFmtId="165" fontId="40" fillId="0" borderId="0" xfId="68" applyNumberFormat="1" applyFont="1" applyFill="1" applyBorder="1" applyAlignment="1">
      <alignment horizontal="center"/>
      <protection/>
    </xf>
    <xf numFmtId="165" fontId="40" fillId="0" borderId="0" xfId="68" applyNumberFormat="1" applyFont="1" applyFill="1" applyBorder="1">
      <alignment/>
      <protection/>
    </xf>
    <xf numFmtId="165" fontId="40" fillId="0" borderId="42" xfId="68" applyNumberFormat="1" applyFont="1" applyFill="1" applyBorder="1" applyAlignment="1">
      <alignment horizontal="center" vertical="center" wrapText="1"/>
      <protection/>
    </xf>
    <xf numFmtId="165" fontId="40" fillId="0" borderId="0" xfId="63" applyNumberFormat="1" applyFont="1" applyBorder="1" applyAlignment="1">
      <alignment horizontal="center" vertical="center" wrapText="1"/>
      <protection/>
    </xf>
    <xf numFmtId="165" fontId="41" fillId="0" borderId="0" xfId="63" applyNumberFormat="1" applyFont="1" applyAlignment="1">
      <alignment horizontal="center" vertical="center" wrapText="1"/>
      <protection/>
    </xf>
    <xf numFmtId="165" fontId="40" fillId="0" borderId="44" xfId="68" applyNumberFormat="1" applyFont="1" applyFill="1" applyBorder="1" applyAlignment="1">
      <alignment horizontal="center" vertical="center" wrapText="1"/>
      <protection/>
    </xf>
    <xf numFmtId="170" fontId="20" fillId="0" borderId="0" xfId="68" applyNumberFormat="1" applyFont="1" applyFill="1" applyBorder="1" applyAlignment="1">
      <alignment vertical="center"/>
      <protection/>
    </xf>
    <xf numFmtId="164" fontId="20" fillId="0" borderId="0" xfId="68" applyFont="1" applyFill="1" applyBorder="1" applyAlignment="1">
      <alignment vertical="center"/>
      <protection/>
    </xf>
    <xf numFmtId="165" fontId="20" fillId="0" borderId="0" xfId="68" applyNumberFormat="1" applyFont="1" applyFill="1" applyBorder="1" applyAlignment="1">
      <alignment vertical="center"/>
      <protection/>
    </xf>
    <xf numFmtId="165" fontId="20" fillId="0" borderId="42" xfId="68" applyNumberFormat="1" applyFont="1" applyFill="1" applyBorder="1" applyAlignment="1">
      <alignment vertical="center"/>
      <protection/>
    </xf>
    <xf numFmtId="170" fontId="1" fillId="0" borderId="0" xfId="68" applyNumberFormat="1" applyFont="1" applyFill="1" applyBorder="1">
      <alignment/>
      <protection/>
    </xf>
    <xf numFmtId="165" fontId="1" fillId="0" borderId="42" xfId="68" applyNumberFormat="1" applyFont="1" applyFill="1" applyBorder="1">
      <alignment/>
      <protection/>
    </xf>
    <xf numFmtId="165" fontId="1" fillId="0" borderId="42" xfId="68" applyNumberFormat="1" applyFont="1" applyFill="1" applyBorder="1" applyAlignment="1">
      <alignment vertical="center"/>
      <protection/>
    </xf>
    <xf numFmtId="165" fontId="14" fillId="0" borderId="0" xfId="68" applyNumberFormat="1" applyFont="1" applyFill="1" applyBorder="1">
      <alignment/>
      <protection/>
    </xf>
    <xf numFmtId="165" fontId="1" fillId="24" borderId="0" xfId="68" applyNumberFormat="1" applyFont="1" applyFill="1" applyBorder="1">
      <alignment/>
      <protection/>
    </xf>
    <xf numFmtId="170" fontId="20" fillId="24" borderId="0" xfId="68" applyNumberFormat="1" applyFont="1" applyFill="1" applyBorder="1" applyAlignment="1">
      <alignment vertical="center"/>
      <protection/>
    </xf>
    <xf numFmtId="164" fontId="20" fillId="24" borderId="0" xfId="68" applyFont="1" applyFill="1" applyBorder="1" applyAlignment="1">
      <alignment vertical="center"/>
      <protection/>
    </xf>
    <xf numFmtId="165" fontId="20" fillId="24" borderId="0" xfId="68" applyNumberFormat="1" applyFont="1" applyFill="1" applyBorder="1" applyAlignment="1">
      <alignment vertical="center"/>
      <protection/>
    </xf>
    <xf numFmtId="165" fontId="20" fillId="24" borderId="42" xfId="68" applyNumberFormat="1" applyFont="1" applyFill="1" applyBorder="1" applyAlignment="1">
      <alignment vertical="center"/>
      <protection/>
    </xf>
    <xf numFmtId="165" fontId="20" fillId="0" borderId="44" xfId="68" applyNumberFormat="1" applyFont="1" applyFill="1" applyBorder="1" applyAlignment="1">
      <alignment vertical="center"/>
      <protection/>
    </xf>
    <xf numFmtId="170" fontId="20" fillId="0" borderId="38" xfId="68" applyNumberFormat="1" applyFont="1" applyFill="1" applyBorder="1" applyAlignment="1">
      <alignment vertical="center" wrapText="1"/>
      <protection/>
    </xf>
    <xf numFmtId="165" fontId="20" fillId="0" borderId="40" xfId="68" applyNumberFormat="1" applyFont="1" applyFill="1" applyBorder="1" applyAlignment="1">
      <alignment vertical="center"/>
      <protection/>
    </xf>
    <xf numFmtId="165" fontId="20" fillId="0" borderId="13" xfId="68" applyNumberFormat="1" applyFont="1" applyFill="1" applyBorder="1" applyAlignment="1">
      <alignment vertical="center"/>
      <protection/>
    </xf>
    <xf numFmtId="165" fontId="20" fillId="0" borderId="28" xfId="68" applyNumberFormat="1" applyFont="1" applyFill="1" applyBorder="1" applyAlignment="1">
      <alignment vertical="center"/>
      <protection/>
    </xf>
    <xf numFmtId="165" fontId="20" fillId="0" borderId="15" xfId="68" applyNumberFormat="1" applyFont="1" applyFill="1" applyBorder="1" applyAlignment="1">
      <alignment vertical="center"/>
      <protection/>
    </xf>
    <xf numFmtId="164" fontId="20" fillId="0" borderId="42" xfId="68" applyFont="1" applyFill="1" applyBorder="1">
      <alignment/>
      <protection/>
    </xf>
    <xf numFmtId="165" fontId="20" fillId="0" borderId="42" xfId="68" applyNumberFormat="1" applyFont="1" applyFill="1" applyBorder="1">
      <alignment/>
      <protection/>
    </xf>
    <xf numFmtId="165" fontId="20" fillId="0" borderId="45" xfId="68" applyNumberFormat="1" applyFont="1" applyFill="1" applyBorder="1">
      <alignment/>
      <protection/>
    </xf>
    <xf numFmtId="164" fontId="20" fillId="0" borderId="46" xfId="68" applyFont="1" applyFill="1" applyBorder="1">
      <alignment/>
      <protection/>
    </xf>
    <xf numFmtId="164" fontId="20" fillId="0" borderId="0" xfId="68" applyFont="1" applyFill="1" applyBorder="1">
      <alignment/>
      <protection/>
    </xf>
    <xf numFmtId="164" fontId="20" fillId="0" borderId="42" xfId="68" applyFont="1" applyFill="1" applyBorder="1" applyAlignment="1">
      <alignment/>
      <protection/>
    </xf>
    <xf numFmtId="164" fontId="1" fillId="0" borderId="42" xfId="68" applyFont="1" applyFill="1" applyBorder="1" applyAlignment="1">
      <alignment horizontal="left"/>
      <protection/>
    </xf>
    <xf numFmtId="164" fontId="1" fillId="0" borderId="42" xfId="68" applyFont="1" applyFill="1" applyBorder="1">
      <alignment/>
      <protection/>
    </xf>
    <xf numFmtId="164" fontId="1" fillId="0" borderId="0" xfId="70" applyAlignment="1">
      <alignment wrapText="1"/>
      <protection/>
    </xf>
    <xf numFmtId="171" fontId="1" fillId="0" borderId="0" xfId="70" applyNumberFormat="1" applyAlignment="1">
      <alignment horizontal="center" vertical="center"/>
      <protection/>
    </xf>
    <xf numFmtId="165" fontId="1" fillId="0" borderId="0" xfId="70" applyNumberFormat="1" applyAlignment="1">
      <alignment vertical="center"/>
      <protection/>
    </xf>
    <xf numFmtId="164" fontId="1" fillId="0" borderId="0" xfId="70">
      <alignment/>
      <protection/>
    </xf>
    <xf numFmtId="168" fontId="42" fillId="0" borderId="42" xfId="70" applyNumberFormat="1" applyFont="1" applyBorder="1" applyAlignment="1">
      <alignment horizontal="center" vertical="center" wrapText="1"/>
      <protection/>
    </xf>
    <xf numFmtId="171" fontId="1" fillId="0" borderId="42" xfId="70" applyNumberFormat="1" applyFont="1" applyBorder="1" applyAlignment="1">
      <alignment horizontal="center" vertical="center" wrapText="1"/>
      <protection/>
    </xf>
    <xf numFmtId="165" fontId="1" fillId="0" borderId="42" xfId="70" applyNumberFormat="1" applyFont="1" applyBorder="1" applyAlignment="1">
      <alignment horizontal="center" vertical="center"/>
      <protection/>
    </xf>
    <xf numFmtId="168" fontId="1" fillId="0" borderId="0" xfId="70" applyNumberFormat="1" applyAlignment="1">
      <alignment horizontal="center" vertical="center"/>
      <protection/>
    </xf>
    <xf numFmtId="164" fontId="43" fillId="0" borderId="42" xfId="70" applyFont="1" applyBorder="1" applyAlignment="1">
      <alignment horizontal="center" vertical="center" wrapText="1"/>
      <protection/>
    </xf>
    <xf numFmtId="168" fontId="42" fillId="24" borderId="42" xfId="70" applyNumberFormat="1" applyFont="1" applyFill="1" applyBorder="1" applyAlignment="1">
      <alignment vertical="center" wrapText="1"/>
      <protection/>
    </xf>
    <xf numFmtId="171" fontId="1" fillId="0" borderId="42" xfId="70" applyNumberFormat="1" applyBorder="1" applyAlignment="1">
      <alignment horizontal="center" vertical="center"/>
      <protection/>
    </xf>
    <xf numFmtId="165" fontId="1" fillId="0" borderId="42" xfId="70" applyNumberFormat="1" applyBorder="1" applyAlignment="1">
      <alignment vertical="center"/>
      <protection/>
    </xf>
    <xf numFmtId="168" fontId="1" fillId="0" borderId="0" xfId="70" applyNumberFormat="1" applyAlignment="1">
      <alignment vertical="center"/>
      <protection/>
    </xf>
    <xf numFmtId="165" fontId="1" fillId="0" borderId="42" xfId="70" applyNumberFormat="1" applyFont="1" applyBorder="1" applyAlignment="1">
      <alignment horizontal="right" vertical="center"/>
      <protection/>
    </xf>
    <xf numFmtId="168" fontId="44" fillId="0" borderId="42" xfId="70" applyNumberFormat="1" applyFont="1" applyBorder="1" applyAlignment="1">
      <alignment vertical="center" wrapText="1"/>
      <protection/>
    </xf>
    <xf numFmtId="171" fontId="20" fillId="0" borderId="42" xfId="70" applyNumberFormat="1" applyFont="1" applyBorder="1" applyAlignment="1">
      <alignment horizontal="center" vertical="center"/>
      <protection/>
    </xf>
    <xf numFmtId="165" fontId="20" fillId="0" borderId="42" xfId="70" applyNumberFormat="1" applyFont="1" applyBorder="1" applyAlignment="1">
      <alignment vertical="center"/>
      <protection/>
    </xf>
    <xf numFmtId="168" fontId="20" fillId="0" borderId="0" xfId="70" applyNumberFormat="1" applyFont="1" applyAlignment="1">
      <alignment vertical="center"/>
      <protection/>
    </xf>
    <xf numFmtId="168" fontId="42" fillId="0" borderId="42" xfId="70" applyNumberFormat="1" applyFont="1" applyBorder="1" applyAlignment="1">
      <alignment vertical="center" wrapText="1"/>
      <protection/>
    </xf>
    <xf numFmtId="168" fontId="43" fillId="0" borderId="42" xfId="70" applyNumberFormat="1" applyFont="1" applyBorder="1" applyAlignment="1">
      <alignment horizontal="center" vertical="center" wrapText="1"/>
      <protection/>
    </xf>
    <xf numFmtId="168" fontId="1" fillId="0" borderId="42" xfId="70" applyNumberFormat="1" applyFont="1" applyBorder="1" applyAlignment="1">
      <alignment vertical="center" wrapText="1"/>
      <protection/>
    </xf>
    <xf numFmtId="165" fontId="1" fillId="24" borderId="42" xfId="70" applyNumberFormat="1" applyFill="1" applyBorder="1" applyAlignment="1">
      <alignment vertical="center"/>
      <protection/>
    </xf>
    <xf numFmtId="168" fontId="42" fillId="24" borderId="42" xfId="70" applyNumberFormat="1" applyFont="1" applyFill="1" applyBorder="1" applyAlignment="1">
      <alignment vertical="center"/>
      <protection/>
    </xf>
    <xf numFmtId="168" fontId="44" fillId="0" borderId="42" xfId="70" applyNumberFormat="1" applyFont="1" applyBorder="1" applyAlignment="1">
      <alignment vertical="center"/>
      <protection/>
    </xf>
    <xf numFmtId="168" fontId="42" fillId="0" borderId="42" xfId="70" applyNumberFormat="1" applyFont="1" applyBorder="1" applyAlignment="1">
      <alignment vertical="center"/>
      <protection/>
    </xf>
    <xf numFmtId="164" fontId="14" fillId="0" borderId="0" xfId="67">
      <alignment/>
      <protection/>
    </xf>
    <xf numFmtId="165" fontId="14" fillId="0" borderId="0" xfId="67" applyNumberFormat="1">
      <alignment/>
      <protection/>
    </xf>
    <xf numFmtId="164" fontId="45" fillId="0" borderId="42" xfId="67" applyFont="1" applyBorder="1" applyAlignment="1">
      <alignment horizontal="center" vertical="center" wrapText="1"/>
      <protection/>
    </xf>
    <xf numFmtId="165" fontId="45" fillId="0" borderId="42" xfId="67" applyNumberFormat="1" applyFont="1" applyBorder="1" applyAlignment="1">
      <alignment horizontal="center" vertical="center" wrapText="1"/>
      <protection/>
    </xf>
    <xf numFmtId="164" fontId="14" fillId="0" borderId="0" xfId="67" applyAlignment="1">
      <alignment vertical="center" wrapText="1"/>
      <protection/>
    </xf>
    <xf numFmtId="165" fontId="45" fillId="0" borderId="42" xfId="67" applyNumberFormat="1" applyFont="1" applyBorder="1" applyAlignment="1">
      <alignment horizontal="right" vertical="center" wrapText="1"/>
      <protection/>
    </xf>
    <xf numFmtId="164" fontId="14" fillId="0" borderId="42" xfId="67" applyFont="1" applyBorder="1" applyAlignment="1">
      <alignment vertical="center" wrapText="1"/>
      <protection/>
    </xf>
    <xf numFmtId="165" fontId="14" fillId="0" borderId="42" xfId="67" applyNumberFormat="1" applyBorder="1" applyAlignment="1">
      <alignment vertical="center" wrapText="1"/>
      <protection/>
    </xf>
    <xf numFmtId="165" fontId="14" fillId="0" borderId="42" xfId="67" applyNumberFormat="1" applyFont="1" applyBorder="1" applyAlignment="1">
      <alignment horizontal="right" vertical="center" wrapText="1"/>
      <protection/>
    </xf>
    <xf numFmtId="165" fontId="14" fillId="0" borderId="0" xfId="67" applyNumberFormat="1" applyAlignment="1">
      <alignment vertical="center" wrapText="1"/>
      <protection/>
    </xf>
    <xf numFmtId="165" fontId="14" fillId="0" borderId="42" xfId="67" applyNumberFormat="1" applyFont="1" applyBorder="1" applyAlignment="1">
      <alignment horizontal="center" vertical="center" wrapText="1"/>
      <protection/>
    </xf>
    <xf numFmtId="165" fontId="14" fillId="24" borderId="42" xfId="67" applyNumberFormat="1" applyFill="1" applyBorder="1" applyAlignment="1">
      <alignment vertical="center" wrapText="1"/>
      <protection/>
    </xf>
    <xf numFmtId="165" fontId="14" fillId="24" borderId="42" xfId="67" applyNumberFormat="1" applyFont="1" applyFill="1" applyBorder="1" applyAlignment="1">
      <alignment horizontal="right" vertical="center" wrapText="1"/>
      <protection/>
    </xf>
    <xf numFmtId="164" fontId="45" fillId="0" borderId="42" xfId="67" applyFont="1" applyBorder="1" applyAlignment="1">
      <alignment vertical="center" wrapText="1"/>
      <protection/>
    </xf>
    <xf numFmtId="165" fontId="45" fillId="0" borderId="42" xfId="67" applyNumberFormat="1" applyFont="1" applyBorder="1" applyAlignment="1">
      <alignment vertical="center" wrapText="1"/>
      <protection/>
    </xf>
    <xf numFmtId="164" fontId="45" fillId="0" borderId="0" xfId="67" applyFont="1" applyAlignment="1">
      <alignment vertical="center" wrapText="1"/>
      <protection/>
    </xf>
    <xf numFmtId="164" fontId="46" fillId="0" borderId="47" xfId="67" applyFont="1" applyBorder="1" applyAlignment="1">
      <alignment horizontal="left" wrapText="1"/>
      <protection/>
    </xf>
    <xf numFmtId="164" fontId="46" fillId="0" borderId="0" xfId="67" applyFont="1" applyAlignment="1">
      <alignment/>
      <protection/>
    </xf>
    <xf numFmtId="164" fontId="46" fillId="0" borderId="0" xfId="67" applyFont="1" applyFill="1" applyBorder="1" applyAlignment="1">
      <alignment horizontal="left" wrapText="1"/>
      <protection/>
    </xf>
    <xf numFmtId="164" fontId="14" fillId="0" borderId="0" xfId="67" applyBorder="1">
      <alignment/>
      <protection/>
    </xf>
    <xf numFmtId="165" fontId="14" fillId="0" borderId="0" xfId="67" applyNumberFormat="1" applyBorder="1">
      <alignment/>
      <protection/>
    </xf>
    <xf numFmtId="164" fontId="1" fillId="0" borderId="0" xfId="69" applyAlignment="1">
      <alignment wrapText="1"/>
      <protection/>
    </xf>
    <xf numFmtId="165" fontId="1" fillId="0" borderId="0" xfId="69" applyNumberFormat="1">
      <alignment/>
      <protection/>
    </xf>
    <xf numFmtId="164" fontId="1" fillId="0" borderId="0" xfId="69">
      <alignment/>
      <protection/>
    </xf>
    <xf numFmtId="164" fontId="20" fillId="0" borderId="0" xfId="69" applyFont="1" applyBorder="1" applyAlignment="1">
      <alignment horizontal="center" vertical="center" wrapText="1"/>
      <protection/>
    </xf>
    <xf numFmtId="164" fontId="20" fillId="0" borderId="0" xfId="69" applyFont="1" applyAlignment="1">
      <alignment horizontal="center" vertical="center" wrapText="1"/>
      <protection/>
    </xf>
    <xf numFmtId="165" fontId="20" fillId="0" borderId="0" xfId="69" applyNumberFormat="1" applyFont="1" applyAlignment="1">
      <alignment horizontal="center" vertical="center" wrapText="1"/>
      <protection/>
    </xf>
    <xf numFmtId="165" fontId="1" fillId="0" borderId="0" xfId="69" applyNumberFormat="1" applyFont="1" applyAlignment="1">
      <alignment horizontal="right"/>
      <protection/>
    </xf>
    <xf numFmtId="165" fontId="20" fillId="0" borderId="0" xfId="69" applyNumberFormat="1" applyFont="1" applyAlignment="1">
      <alignment horizontal="center" vertical="center"/>
      <protection/>
    </xf>
    <xf numFmtId="164" fontId="20" fillId="0" borderId="0" xfId="69" applyFont="1" applyAlignment="1">
      <alignment horizontal="center" vertical="center"/>
      <protection/>
    </xf>
    <xf numFmtId="165" fontId="1" fillId="0" borderId="0" xfId="69" applyNumberFormat="1" applyFont="1">
      <alignment/>
      <protection/>
    </xf>
    <xf numFmtId="164" fontId="1" fillId="0" borderId="0" xfId="69" applyFont="1" applyAlignment="1">
      <alignment wrapText="1"/>
      <protection/>
    </xf>
    <xf numFmtId="165" fontId="36" fillId="0" borderId="0" xfId="69" applyNumberFormat="1" applyFont="1" applyAlignment="1">
      <alignment horizontal="center" vertical="center"/>
      <protection/>
    </xf>
    <xf numFmtId="164" fontId="20" fillId="0" borderId="0" xfId="69" applyFont="1" applyAlignment="1">
      <alignment horizontal="left" vertical="center" wrapText="1"/>
      <protection/>
    </xf>
    <xf numFmtId="165" fontId="1" fillId="0" borderId="0" xfId="69" applyNumberFormat="1" applyFont="1" applyAlignment="1">
      <alignment horizontal="center" vertical="center"/>
      <protection/>
    </xf>
    <xf numFmtId="165" fontId="27" fillId="0" borderId="0" xfId="69" applyNumberFormat="1" applyFont="1">
      <alignment/>
      <protection/>
    </xf>
    <xf numFmtId="164" fontId="1" fillId="0" borderId="0" xfId="69" applyFont="1" applyAlignment="1">
      <alignment horizontal="left" vertical="center" wrapText="1"/>
      <protection/>
    </xf>
    <xf numFmtId="164" fontId="20" fillId="0" borderId="31" xfId="69" applyFont="1" applyBorder="1" applyAlignment="1">
      <alignment horizontal="center" vertical="center" wrapText="1"/>
      <protection/>
    </xf>
    <xf numFmtId="164" fontId="20" fillId="0" borderId="0" xfId="69" applyFont="1" applyAlignment="1">
      <alignment wrapText="1"/>
      <protection/>
    </xf>
    <xf numFmtId="165" fontId="20" fillId="0" borderId="0" xfId="69" applyNumberFormat="1" applyFont="1">
      <alignment/>
      <protection/>
    </xf>
    <xf numFmtId="164" fontId="20" fillId="0" borderId="0" xfId="69" applyFont="1">
      <alignment/>
      <protection/>
    </xf>
    <xf numFmtId="164" fontId="1" fillId="0" borderId="0" xfId="69" applyFont="1">
      <alignment/>
      <protection/>
    </xf>
    <xf numFmtId="164" fontId="1" fillId="0" borderId="0" xfId="69" applyFont="1" applyAlignment="1">
      <alignment horizontal="center" vertical="center"/>
      <protection/>
    </xf>
    <xf numFmtId="165" fontId="1" fillId="0" borderId="0" xfId="69" applyNumberFormat="1" applyFont="1" applyAlignment="1">
      <alignment horizontal="right" vertical="center"/>
      <protection/>
    </xf>
    <xf numFmtId="164" fontId="14" fillId="0" borderId="0" xfId="63" applyFont="1" applyAlignment="1">
      <alignment wrapText="1"/>
      <protection/>
    </xf>
    <xf numFmtId="164" fontId="20" fillId="0" borderId="42" xfId="0" applyFont="1" applyBorder="1" applyAlignment="1">
      <alignment vertical="center"/>
    </xf>
    <xf numFmtId="164" fontId="20" fillId="0" borderId="42" xfId="0" applyFont="1" applyBorder="1" applyAlignment="1">
      <alignment horizontal="center" vertical="center" wrapText="1"/>
    </xf>
    <xf numFmtId="164" fontId="0" fillId="0" borderId="42" xfId="0" applyFont="1" applyBorder="1" applyAlignment="1">
      <alignment/>
    </xf>
    <xf numFmtId="165" fontId="0" fillId="0" borderId="42" xfId="0" applyNumberFormat="1" applyBorder="1" applyAlignment="1">
      <alignment/>
    </xf>
    <xf numFmtId="164" fontId="20" fillId="0" borderId="42" xfId="0" applyFont="1" applyBorder="1" applyAlignment="1">
      <alignment/>
    </xf>
    <xf numFmtId="165" fontId="20" fillId="0" borderId="42" xfId="0" applyNumberFormat="1" applyFont="1" applyBorder="1" applyAlignment="1">
      <alignment/>
    </xf>
    <xf numFmtId="164" fontId="1" fillId="0" borderId="42" xfId="0" applyFont="1" applyBorder="1" applyAlignment="1">
      <alignment/>
    </xf>
  </cellXfs>
  <cellStyles count="6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2 2" xfId="58"/>
    <cellStyle name="Normál 3" xfId="59"/>
    <cellStyle name="Normál 3 2" xfId="60"/>
    <cellStyle name="Normál 3 3" xfId="61"/>
    <cellStyle name="Normál 4" xfId="62"/>
    <cellStyle name="Normál 5" xfId="63"/>
    <cellStyle name="Normál 6" xfId="64"/>
    <cellStyle name="Normál 7" xfId="65"/>
    <cellStyle name="Normál 8" xfId="66"/>
    <cellStyle name="Normál_2005ktgv" xfId="67"/>
    <cellStyle name="Normál_bevlételkoncepció 2" xfId="68"/>
    <cellStyle name="Normál_EU-S- PÁLYÁZATOK" xfId="69"/>
    <cellStyle name="Normál_Munkafüzet2_43urlap_koltsegvetes" xfId="70"/>
    <cellStyle name="Összesen" xfId="71"/>
    <cellStyle name="Rossz" xfId="72"/>
    <cellStyle name="Semleges" xfId="73"/>
    <cellStyle name="Számítás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AH1IFMHK\0129-t&#225;bl&#225;zat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AH1IFMHK\%20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ser\Local%20Settings\Temporary%20Internet%20Files\Content.IE5\AH1IFMHK\2009.janu&#225;r\Beruh&#225;z&#225;s%2012.31.int&#233;zm&#233;nye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igány"/>
      <sheetName val="német"/>
      <sheetName val="horvát"/>
      <sheetName val="3_c_tábla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 "/>
      <sheetName val="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"/>
      <sheetName val="Felújít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zoomScaleSheetLayoutView="100" workbookViewId="0" topLeftCell="I12">
      <selection activeCell="R28" sqref="R28"/>
    </sheetView>
  </sheetViews>
  <sheetFormatPr defaultColWidth="10.28125" defaultRowHeight="15"/>
  <cols>
    <col min="1" max="1" width="45.140625" style="1" customWidth="1"/>
    <col min="2" max="2" width="0" style="2" hidden="1" customWidth="1"/>
    <col min="3" max="6" width="0" style="3" hidden="1" customWidth="1"/>
    <col min="7" max="7" width="0" style="4" hidden="1" customWidth="1"/>
    <col min="8" max="10" width="14.140625" style="4" customWidth="1"/>
    <col min="11" max="11" width="42.00390625" style="5" customWidth="1"/>
    <col min="12" max="16" width="0" style="5" hidden="1" customWidth="1"/>
    <col min="17" max="17" width="0" style="6" hidden="1" customWidth="1"/>
    <col min="18" max="18" width="15.28125" style="6" customWidth="1"/>
    <col min="19" max="19" width="14.140625" style="5" customWidth="1"/>
    <col min="20" max="20" width="15.28125" style="6" customWidth="1"/>
    <col min="21" max="16384" width="10.28125" style="5" customWidth="1"/>
  </cols>
  <sheetData>
    <row r="1" spans="1:20" ht="54" customHeight="1">
      <c r="A1" s="7" t="s">
        <v>0</v>
      </c>
      <c r="B1" s="8" t="s">
        <v>1</v>
      </c>
      <c r="C1" s="8" t="s">
        <v>2</v>
      </c>
      <c r="D1" s="9" t="s">
        <v>3</v>
      </c>
      <c r="E1" s="9" t="s">
        <v>4</v>
      </c>
      <c r="F1" s="9" t="s">
        <v>5</v>
      </c>
      <c r="G1" s="10" t="s">
        <v>4</v>
      </c>
      <c r="H1" s="9" t="s">
        <v>6</v>
      </c>
      <c r="I1" s="9" t="s">
        <v>4</v>
      </c>
      <c r="J1" s="9" t="s">
        <v>7</v>
      </c>
      <c r="K1" s="7" t="s">
        <v>8</v>
      </c>
      <c r="L1" s="8" t="s">
        <v>9</v>
      </c>
      <c r="M1" s="11" t="s">
        <v>2</v>
      </c>
      <c r="N1" s="9" t="s">
        <v>3</v>
      </c>
      <c r="O1" s="9" t="s">
        <v>4</v>
      </c>
      <c r="P1" s="9" t="s">
        <v>5</v>
      </c>
      <c r="Q1" s="10" t="s">
        <v>4</v>
      </c>
      <c r="R1" s="9" t="s">
        <v>6</v>
      </c>
      <c r="S1" s="9" t="s">
        <v>4</v>
      </c>
      <c r="T1" s="9" t="s">
        <v>7</v>
      </c>
    </row>
    <row r="2" spans="1:20" ht="18.75" customHeight="1">
      <c r="A2" s="12" t="s">
        <v>10</v>
      </c>
      <c r="B2" s="13">
        <f>+B6+B8+B3+SUM(B9:B12)</f>
        <v>22327343</v>
      </c>
      <c r="C2" s="13">
        <f>+C6+C8+C3+SUM(C9:C12)</f>
        <v>23805508</v>
      </c>
      <c r="D2" s="14">
        <f>+D6+D8+D3+SUM(D9:D12)+D13</f>
        <v>24443291</v>
      </c>
      <c r="E2" s="14">
        <f aca="true" t="shared" si="0" ref="E2:J2">+E6+E8+E3+SUM(E9:E13)</f>
        <v>903399</v>
      </c>
      <c r="F2" s="14">
        <f t="shared" si="0"/>
        <v>25808152</v>
      </c>
      <c r="G2" s="15">
        <f t="shared" si="0"/>
        <v>322553</v>
      </c>
      <c r="H2" s="15">
        <f t="shared" si="0"/>
        <v>26130705</v>
      </c>
      <c r="I2" s="15">
        <f t="shared" si="0"/>
        <v>572635</v>
      </c>
      <c r="J2" s="15">
        <f t="shared" si="0"/>
        <v>26703340</v>
      </c>
      <c r="K2" s="12" t="s">
        <v>11</v>
      </c>
      <c r="L2" s="13">
        <f>SUM(L3:L15)</f>
        <v>22945400</v>
      </c>
      <c r="M2" s="13">
        <f>SUM(M3:M17)</f>
        <v>21877174</v>
      </c>
      <c r="N2" s="14">
        <f aca="true" t="shared" si="1" ref="N2:T2">SUM(N3:N15)</f>
        <v>24038823</v>
      </c>
      <c r="O2" s="14">
        <f t="shared" si="1"/>
        <v>747628</v>
      </c>
      <c r="P2" s="14">
        <f t="shared" si="1"/>
        <v>25209519</v>
      </c>
      <c r="Q2" s="14">
        <f t="shared" si="1"/>
        <v>156980</v>
      </c>
      <c r="R2" s="15">
        <f t="shared" si="1"/>
        <v>25366499</v>
      </c>
      <c r="S2" s="15">
        <f t="shared" si="1"/>
        <v>444880</v>
      </c>
      <c r="T2" s="15">
        <f t="shared" si="1"/>
        <v>25811379</v>
      </c>
    </row>
    <row r="3" spans="1:20" ht="18.75" customHeight="1">
      <c r="A3" s="16" t="s">
        <v>12</v>
      </c>
      <c r="B3" s="17">
        <f>SUM(B4:B5)</f>
        <v>13027267</v>
      </c>
      <c r="C3" s="17">
        <f>SUM(C4:C5)</f>
        <v>13524337</v>
      </c>
      <c r="D3" s="18">
        <v>13068249</v>
      </c>
      <c r="E3" s="18">
        <f>SUM(E4:E5)</f>
        <v>903399</v>
      </c>
      <c r="F3" s="18">
        <f>SUM(F4:F5)</f>
        <v>14159285</v>
      </c>
      <c r="G3" s="19">
        <f>SUM(G4:G5)</f>
        <v>178988</v>
      </c>
      <c r="H3" s="19">
        <f>SUM(H4:H5)</f>
        <v>14338273</v>
      </c>
      <c r="I3" s="19">
        <f>SUM(I4:I5)</f>
        <v>246773</v>
      </c>
      <c r="J3" s="19">
        <f>SUM(H3:I3)</f>
        <v>14585046</v>
      </c>
      <c r="K3" s="16" t="s">
        <v>13</v>
      </c>
      <c r="L3" s="17">
        <v>9981919</v>
      </c>
      <c r="M3" s="17">
        <f>7894986+1564063+2397+143</f>
        <v>9461589</v>
      </c>
      <c r="N3" s="18">
        <v>9634726</v>
      </c>
      <c r="O3" s="18">
        <v>10510</v>
      </c>
      <c r="P3" s="18">
        <v>9765163</v>
      </c>
      <c r="Q3" s="20">
        <f>-92+405+1476+48033+7343</f>
        <v>57165</v>
      </c>
      <c r="R3" s="19">
        <f aca="true" t="shared" si="2" ref="R3:R13">+Q3+P3</f>
        <v>9822328</v>
      </c>
      <c r="S3" s="18">
        <f>37763+57163+1063+272+211</f>
        <v>96472</v>
      </c>
      <c r="T3" s="19">
        <f>+R3+S3</f>
        <v>9918800</v>
      </c>
    </row>
    <row r="4" spans="1:20" s="30" customFormat="1" ht="18.75" customHeight="1">
      <c r="A4" s="21" t="s">
        <v>14</v>
      </c>
      <c r="B4" s="22">
        <v>2298725</v>
      </c>
      <c r="C4" s="23">
        <f>2148728+540402+49+42+68</f>
        <v>2689289</v>
      </c>
      <c r="D4" s="24">
        <v>3171935</v>
      </c>
      <c r="E4" s="24">
        <f>906437-2532-506</f>
        <v>903399</v>
      </c>
      <c r="F4" s="24">
        <v>4182971</v>
      </c>
      <c r="G4" s="25">
        <f>140+18+47+28468+26154+839+123322</f>
        <v>178988</v>
      </c>
      <c r="H4" s="26">
        <f aca="true" t="shared" si="3" ref="H4:H13">+F4+G4</f>
        <v>4361959</v>
      </c>
      <c r="I4" s="26">
        <f>368447+87534+31275+3195+84+86+86</f>
        <v>490707</v>
      </c>
      <c r="J4" s="26">
        <f aca="true" t="shared" si="4" ref="J4:J13">SUM(H4:I4)</f>
        <v>4852666</v>
      </c>
      <c r="K4" s="16" t="s">
        <v>15</v>
      </c>
      <c r="L4" s="17">
        <v>3187182</v>
      </c>
      <c r="M4" s="27">
        <f>2549625+514553+633</f>
        <v>3064811</v>
      </c>
      <c r="N4" s="28">
        <v>3065005</v>
      </c>
      <c r="O4" s="28">
        <v>3360</v>
      </c>
      <c r="P4" s="18">
        <v>3107040</v>
      </c>
      <c r="Q4" s="29">
        <f>418+14979+2408</f>
        <v>17805</v>
      </c>
      <c r="R4" s="19">
        <f t="shared" si="2"/>
        <v>3124845</v>
      </c>
      <c r="S4" s="18">
        <f>12632+-7859+482+92+26</f>
        <v>5373</v>
      </c>
      <c r="T4" s="19">
        <f aca="true" t="shared" si="5" ref="T4:T17">+R4+S4</f>
        <v>3130218</v>
      </c>
    </row>
    <row r="5" spans="1:20" s="30" customFormat="1" ht="18.75" customHeight="1">
      <c r="A5" s="21" t="s">
        <v>16</v>
      </c>
      <c r="B5" s="22">
        <v>10728542</v>
      </c>
      <c r="C5" s="23">
        <v>10835048</v>
      </c>
      <c r="D5" s="24">
        <v>9896314</v>
      </c>
      <c r="E5" s="24"/>
      <c r="F5" s="24">
        <v>9976314</v>
      </c>
      <c r="G5" s="25">
        <v>0</v>
      </c>
      <c r="H5" s="26">
        <f t="shared" si="3"/>
        <v>9976314</v>
      </c>
      <c r="I5" s="26">
        <v>-243934</v>
      </c>
      <c r="J5" s="26">
        <f t="shared" si="4"/>
        <v>9732380</v>
      </c>
      <c r="K5" s="16" t="s">
        <v>17</v>
      </c>
      <c r="L5" s="17">
        <v>6482490</v>
      </c>
      <c r="M5" s="27">
        <f>3777663+1686641+1194+874+2060</f>
        <v>5468432</v>
      </c>
      <c r="N5" s="28">
        <v>7430895</v>
      </c>
      <c r="O5" s="28">
        <f>747864-506</f>
        <v>747358</v>
      </c>
      <c r="P5" s="18">
        <v>8266065</v>
      </c>
      <c r="Q5" s="29">
        <f>-18-198-13+111711-48949</f>
        <v>62533</v>
      </c>
      <c r="R5" s="19">
        <f t="shared" si="2"/>
        <v>8328598</v>
      </c>
      <c r="S5" s="18">
        <f>+-20896+167669+1096+809+621</f>
        <v>149299</v>
      </c>
      <c r="T5" s="19">
        <f t="shared" si="5"/>
        <v>8477897</v>
      </c>
    </row>
    <row r="6" spans="1:20" ht="18.75" customHeight="1">
      <c r="A6" s="16" t="s">
        <v>18</v>
      </c>
      <c r="B6" s="17">
        <v>994346</v>
      </c>
      <c r="C6" s="17">
        <f>869555+183558+6399+2480+2550</f>
        <v>1064542</v>
      </c>
      <c r="D6" s="18">
        <v>1166188</v>
      </c>
      <c r="E6" s="18"/>
      <c r="F6" s="18">
        <v>806776</v>
      </c>
      <c r="G6" s="20">
        <f>5009+41158-67299</f>
        <v>-21132</v>
      </c>
      <c r="H6" s="19">
        <f t="shared" si="3"/>
        <v>785644</v>
      </c>
      <c r="I6" s="19">
        <f>-23663+27862+873+850+1000</f>
        <v>6922</v>
      </c>
      <c r="J6" s="19">
        <f t="shared" si="4"/>
        <v>792566</v>
      </c>
      <c r="K6" s="16" t="s">
        <v>19</v>
      </c>
      <c r="L6" s="17">
        <v>249422</v>
      </c>
      <c r="M6" s="17">
        <f>509+367761</f>
        <v>368270</v>
      </c>
      <c r="N6" s="18">
        <v>368359</v>
      </c>
      <c r="O6" s="18"/>
      <c r="P6" s="18">
        <v>457612</v>
      </c>
      <c r="Q6" s="20">
        <f>-19+15785</f>
        <v>15766</v>
      </c>
      <c r="R6" s="19">
        <f t="shared" si="2"/>
        <v>473378</v>
      </c>
      <c r="S6" s="18">
        <f>-20+18356</f>
        <v>18336</v>
      </c>
      <c r="T6" s="19">
        <f t="shared" si="5"/>
        <v>491714</v>
      </c>
    </row>
    <row r="7" spans="1:20" s="41" customFormat="1" ht="18.75" customHeight="1">
      <c r="A7" s="31" t="s">
        <v>20</v>
      </c>
      <c r="B7" s="32">
        <v>406119</v>
      </c>
      <c r="C7" s="33">
        <v>368865</v>
      </c>
      <c r="D7" s="34">
        <v>774974</v>
      </c>
      <c r="E7" s="34"/>
      <c r="F7" s="34">
        <f>+D7+E7</f>
        <v>774974</v>
      </c>
      <c r="G7" s="35"/>
      <c r="H7" s="34">
        <f t="shared" si="3"/>
        <v>774974</v>
      </c>
      <c r="I7" s="34"/>
      <c r="J7" s="34">
        <f t="shared" si="4"/>
        <v>774974</v>
      </c>
      <c r="K7" s="36" t="s">
        <v>21</v>
      </c>
      <c r="L7" s="37">
        <v>735588</v>
      </c>
      <c r="M7" s="38">
        <f>2810+889961</f>
        <v>892771</v>
      </c>
      <c r="N7" s="39">
        <v>940433</v>
      </c>
      <c r="O7" s="39"/>
      <c r="P7" s="19">
        <v>946333</v>
      </c>
      <c r="Q7" s="40">
        <f>-8500</f>
        <v>-8500</v>
      </c>
      <c r="R7" s="19">
        <f t="shared" si="2"/>
        <v>937833</v>
      </c>
      <c r="S7" s="19">
        <f>106109-401</f>
        <v>105708</v>
      </c>
      <c r="T7" s="19">
        <f t="shared" si="5"/>
        <v>1043541</v>
      </c>
    </row>
    <row r="8" spans="1:20" ht="18.75" customHeight="1">
      <c r="A8" s="16" t="s">
        <v>22</v>
      </c>
      <c r="B8" s="17">
        <v>99501</v>
      </c>
      <c r="C8" s="27">
        <f>107496+16314</f>
        <v>123810</v>
      </c>
      <c r="D8" s="28">
        <v>39051</v>
      </c>
      <c r="E8" s="28"/>
      <c r="F8" s="28">
        <v>58764</v>
      </c>
      <c r="G8" s="29">
        <f>100+50+20+11848</f>
        <v>12018</v>
      </c>
      <c r="H8" s="39">
        <f t="shared" si="3"/>
        <v>70782</v>
      </c>
      <c r="I8" s="39">
        <f>740+21227+50</f>
        <v>22017</v>
      </c>
      <c r="J8" s="39">
        <f t="shared" si="4"/>
        <v>92799</v>
      </c>
      <c r="K8" s="16" t="s">
        <v>23</v>
      </c>
      <c r="L8" s="17">
        <v>106245</v>
      </c>
      <c r="M8" s="27">
        <f>9645+53923</f>
        <v>63568</v>
      </c>
      <c r="N8" s="28">
        <v>86597</v>
      </c>
      <c r="O8" s="28"/>
      <c r="P8" s="18">
        <v>80847</v>
      </c>
      <c r="Q8" s="29">
        <v>5185</v>
      </c>
      <c r="R8" s="19">
        <f t="shared" si="2"/>
        <v>86032</v>
      </c>
      <c r="S8" s="18">
        <v>2969</v>
      </c>
      <c r="T8" s="19">
        <f t="shared" si="5"/>
        <v>89001</v>
      </c>
    </row>
    <row r="9" spans="1:20" ht="18.75" customHeight="1">
      <c r="A9" s="16" t="s">
        <v>24</v>
      </c>
      <c r="B9" s="17">
        <v>7218047</v>
      </c>
      <c r="C9" s="27">
        <v>8266024</v>
      </c>
      <c r="D9" s="28">
        <v>9084054</v>
      </c>
      <c r="E9" s="28"/>
      <c r="F9" s="28">
        <v>9654028</v>
      </c>
      <c r="G9" s="29">
        <f>110+311+214+98423+41045</f>
        <v>140103</v>
      </c>
      <c r="H9" s="39">
        <f t="shared" si="3"/>
        <v>9794131</v>
      </c>
      <c r="I9" s="39">
        <f>296902+21</f>
        <v>296923</v>
      </c>
      <c r="J9" s="39">
        <f t="shared" si="4"/>
        <v>10091054</v>
      </c>
      <c r="K9" s="16" t="s">
        <v>25</v>
      </c>
      <c r="L9" s="17">
        <v>260330</v>
      </c>
      <c r="M9" s="27">
        <f>313032+312536+22+250+340</f>
        <v>626180</v>
      </c>
      <c r="N9" s="28">
        <v>340633</v>
      </c>
      <c r="O9" s="28"/>
      <c r="P9" s="18">
        <v>341651</v>
      </c>
      <c r="Q9" s="29">
        <v>1877</v>
      </c>
      <c r="R9" s="19">
        <f t="shared" si="2"/>
        <v>343528</v>
      </c>
      <c r="S9" s="18">
        <f>800+8115+62-21</f>
        <v>8956</v>
      </c>
      <c r="T9" s="19">
        <f t="shared" si="5"/>
        <v>352484</v>
      </c>
    </row>
    <row r="10" spans="1:20" ht="18.75" customHeight="1">
      <c r="A10" s="16" t="s">
        <v>26</v>
      </c>
      <c r="B10" s="17">
        <v>7000</v>
      </c>
      <c r="C10" s="27">
        <v>3628</v>
      </c>
      <c r="D10" s="28"/>
      <c r="E10" s="28"/>
      <c r="F10" s="28">
        <f>+D10+E10</f>
        <v>0</v>
      </c>
      <c r="G10" s="29"/>
      <c r="H10" s="39">
        <f t="shared" si="3"/>
        <v>0</v>
      </c>
      <c r="I10" s="39"/>
      <c r="J10" s="39">
        <f t="shared" si="4"/>
        <v>0</v>
      </c>
      <c r="K10" s="16" t="s">
        <v>27</v>
      </c>
      <c r="L10" s="17">
        <v>769802</v>
      </c>
      <c r="M10" s="27">
        <f>242604+558044</f>
        <v>800648</v>
      </c>
      <c r="N10" s="28">
        <v>749925</v>
      </c>
      <c r="O10" s="39"/>
      <c r="P10" s="18">
        <v>791186</v>
      </c>
      <c r="Q10" s="29">
        <v>0</v>
      </c>
      <c r="R10" s="19">
        <f t="shared" si="2"/>
        <v>791186</v>
      </c>
      <c r="S10" s="18">
        <v>-3614</v>
      </c>
      <c r="T10" s="19">
        <f t="shared" si="5"/>
        <v>787572</v>
      </c>
    </row>
    <row r="11" spans="1:20" ht="18.75" customHeight="1">
      <c r="A11" s="16" t="s">
        <v>28</v>
      </c>
      <c r="B11" s="17">
        <v>2063</v>
      </c>
      <c r="C11" s="27">
        <f>97+5000</f>
        <v>5097</v>
      </c>
      <c r="D11" s="28">
        <v>5410</v>
      </c>
      <c r="E11" s="28"/>
      <c r="F11" s="28">
        <f>+D11+E11</f>
        <v>5410</v>
      </c>
      <c r="G11" s="29"/>
      <c r="H11" s="39">
        <f t="shared" si="3"/>
        <v>5410</v>
      </c>
      <c r="I11" s="39"/>
      <c r="J11" s="39">
        <f t="shared" si="4"/>
        <v>5410</v>
      </c>
      <c r="K11" s="16" t="s">
        <v>29</v>
      </c>
      <c r="L11" s="17">
        <v>1163122</v>
      </c>
      <c r="M11" s="27">
        <f>1120978+120+517+500</f>
        <v>1122115</v>
      </c>
      <c r="N11" s="28">
        <v>1172906</v>
      </c>
      <c r="O11" s="28"/>
      <c r="P11" s="18">
        <v>1266949</v>
      </c>
      <c r="Q11" s="29">
        <f>192+3100+138+142474</f>
        <v>145904</v>
      </c>
      <c r="R11" s="19">
        <f t="shared" si="2"/>
        <v>1412853</v>
      </c>
      <c r="S11" s="18">
        <f>-2472+96059-592-18</f>
        <v>92977</v>
      </c>
      <c r="T11" s="19">
        <f t="shared" si="5"/>
        <v>1505830</v>
      </c>
    </row>
    <row r="12" spans="1:20" ht="18.75" customHeight="1">
      <c r="A12" s="16" t="s">
        <v>30</v>
      </c>
      <c r="B12" s="17">
        <v>979119</v>
      </c>
      <c r="C12" s="27">
        <f>547312+269102+569+552+535</f>
        <v>818070</v>
      </c>
      <c r="D12" s="28">
        <v>1066775</v>
      </c>
      <c r="E12" s="28"/>
      <c r="F12" s="28">
        <v>1029897</v>
      </c>
      <c r="G12" s="29">
        <v>12576</v>
      </c>
      <c r="H12" s="39">
        <f t="shared" si="3"/>
        <v>1042473</v>
      </c>
      <c r="I12" s="39"/>
      <c r="J12" s="39">
        <f t="shared" si="4"/>
        <v>1042473</v>
      </c>
      <c r="K12" s="16" t="s">
        <v>31</v>
      </c>
      <c r="L12" s="17">
        <v>7300</v>
      </c>
      <c r="M12" s="27">
        <v>3790</v>
      </c>
      <c r="N12" s="28">
        <v>1811</v>
      </c>
      <c r="O12" s="28"/>
      <c r="P12" s="18">
        <f>+O12+N12</f>
        <v>1811</v>
      </c>
      <c r="Q12" s="29">
        <v>0</v>
      </c>
      <c r="R12" s="19">
        <f t="shared" si="2"/>
        <v>1811</v>
      </c>
      <c r="S12" s="18">
        <v>0</v>
      </c>
      <c r="T12" s="19">
        <f t="shared" si="5"/>
        <v>1811</v>
      </c>
    </row>
    <row r="13" spans="1:20" ht="18.75" customHeight="1">
      <c r="A13" s="16" t="s">
        <v>32</v>
      </c>
      <c r="B13" s="17"/>
      <c r="C13" s="27"/>
      <c r="D13" s="28">
        <v>13564</v>
      </c>
      <c r="E13" s="28"/>
      <c r="F13" s="28">
        <v>93992</v>
      </c>
      <c r="G13" s="29">
        <v>0</v>
      </c>
      <c r="H13" s="39">
        <f t="shared" si="3"/>
        <v>93992</v>
      </c>
      <c r="I13" s="39"/>
      <c r="J13" s="39">
        <f t="shared" si="4"/>
        <v>93992</v>
      </c>
      <c r="K13" s="16" t="s">
        <v>33</v>
      </c>
      <c r="L13" s="17">
        <v>2000</v>
      </c>
      <c r="M13" s="27">
        <v>5000</v>
      </c>
      <c r="N13" s="28"/>
      <c r="O13" s="28"/>
      <c r="P13" s="18">
        <f>+O13+N13</f>
        <v>0</v>
      </c>
      <c r="Q13" s="29">
        <v>0</v>
      </c>
      <c r="R13" s="19">
        <f t="shared" si="2"/>
        <v>0</v>
      </c>
      <c r="S13" s="18">
        <v>0</v>
      </c>
      <c r="T13" s="19">
        <f t="shared" si="5"/>
        <v>0</v>
      </c>
    </row>
    <row r="14" spans="1:20" ht="18.75" customHeight="1">
      <c r="A14" s="16"/>
      <c r="B14" s="17"/>
      <c r="C14" s="27"/>
      <c r="D14" s="28"/>
      <c r="E14" s="28"/>
      <c r="F14" s="28"/>
      <c r="G14" s="29"/>
      <c r="H14" s="39"/>
      <c r="I14" s="39"/>
      <c r="J14" s="39"/>
      <c r="K14" s="16" t="s">
        <v>34</v>
      </c>
      <c r="L14" s="17"/>
      <c r="M14" s="27"/>
      <c r="N14" s="28">
        <v>317</v>
      </c>
      <c r="O14" s="28"/>
      <c r="P14" s="18">
        <v>317</v>
      </c>
      <c r="Q14" s="29">
        <v>0</v>
      </c>
      <c r="R14" s="19">
        <v>317</v>
      </c>
      <c r="S14" s="18"/>
      <c r="T14" s="19">
        <f t="shared" si="5"/>
        <v>317</v>
      </c>
    </row>
    <row r="15" spans="1:20" ht="18.75" customHeight="1">
      <c r="A15" s="16"/>
      <c r="B15" s="17"/>
      <c r="C15" s="27"/>
      <c r="D15" s="28"/>
      <c r="E15" s="28"/>
      <c r="F15" s="28"/>
      <c r="G15" s="29"/>
      <c r="H15" s="39"/>
      <c r="I15" s="39"/>
      <c r="J15" s="39"/>
      <c r="K15" s="16" t="s">
        <v>35</v>
      </c>
      <c r="L15" s="27" t="s">
        <v>36</v>
      </c>
      <c r="M15" s="27" t="s">
        <v>36</v>
      </c>
      <c r="N15" s="42">
        <v>247216</v>
      </c>
      <c r="O15" s="42">
        <f>SUM(O16+O17)</f>
        <v>-13600</v>
      </c>
      <c r="P15" s="42">
        <v>184545</v>
      </c>
      <c r="Q15" s="42">
        <f>SUM(Q16:Q17)</f>
        <v>-140755</v>
      </c>
      <c r="R15" s="43">
        <f>SUM(R16:R17)</f>
        <v>43790</v>
      </c>
      <c r="S15" s="43">
        <f>SUM(S16:S17)</f>
        <v>-31596</v>
      </c>
      <c r="T15" s="43">
        <f>SUM(T16:T17)</f>
        <v>12194</v>
      </c>
    </row>
    <row r="16" spans="1:20" ht="18.75" customHeight="1">
      <c r="A16" s="16"/>
      <c r="B16" s="44"/>
      <c r="C16" s="27"/>
      <c r="D16" s="28"/>
      <c r="E16" s="28"/>
      <c r="F16" s="28"/>
      <c r="G16" s="29"/>
      <c r="H16" s="39"/>
      <c r="I16" s="39"/>
      <c r="J16" s="39"/>
      <c r="K16" s="45" t="s">
        <v>37</v>
      </c>
      <c r="L16" s="27" t="s">
        <v>36</v>
      </c>
      <c r="M16" s="27" t="s">
        <v>36</v>
      </c>
      <c r="N16" s="46">
        <v>20850</v>
      </c>
      <c r="O16" s="46">
        <v>-13600</v>
      </c>
      <c r="P16" s="46">
        <v>3484</v>
      </c>
      <c r="Q16" s="29">
        <v>-132</v>
      </c>
      <c r="R16" s="47">
        <f>+Q16+P16</f>
        <v>3352</v>
      </c>
      <c r="S16" s="46">
        <v>-1000</v>
      </c>
      <c r="T16" s="19">
        <f t="shared" si="5"/>
        <v>2352</v>
      </c>
    </row>
    <row r="17" spans="1:20" ht="18.75" customHeight="1">
      <c r="A17" s="16"/>
      <c r="B17" s="44"/>
      <c r="C17" s="27"/>
      <c r="D17" s="28"/>
      <c r="E17" s="28"/>
      <c r="F17" s="28"/>
      <c r="G17" s="29"/>
      <c r="H17" s="39"/>
      <c r="I17" s="39"/>
      <c r="J17" s="39"/>
      <c r="K17" s="45" t="s">
        <v>38</v>
      </c>
      <c r="L17" s="48" t="s">
        <v>36</v>
      </c>
      <c r="M17" s="27" t="s">
        <v>36</v>
      </c>
      <c r="N17" s="46">
        <v>226366</v>
      </c>
      <c r="O17" s="46"/>
      <c r="P17" s="46">
        <v>181061</v>
      </c>
      <c r="Q17" s="29">
        <v>-140623</v>
      </c>
      <c r="R17" s="47">
        <f>+Q17+P17</f>
        <v>40438</v>
      </c>
      <c r="S17" s="46">
        <v>-30596</v>
      </c>
      <c r="T17" s="19">
        <f t="shared" si="5"/>
        <v>9842</v>
      </c>
    </row>
    <row r="18" spans="1:20" ht="18.75" customHeight="1">
      <c r="A18" s="49" t="s">
        <v>39</v>
      </c>
      <c r="B18" s="50">
        <f>SUM(B19:B25)</f>
        <v>3123419</v>
      </c>
      <c r="C18" s="51">
        <f aca="true" t="shared" si="6" ref="C18:J18">SUM(C19:C24)</f>
        <v>4344997</v>
      </c>
      <c r="D18" s="52">
        <f t="shared" si="6"/>
        <v>7795943</v>
      </c>
      <c r="E18" s="52">
        <f t="shared" si="6"/>
        <v>4901556</v>
      </c>
      <c r="F18" s="52">
        <f t="shared" si="6"/>
        <v>12868340</v>
      </c>
      <c r="G18" s="53">
        <f>SUM(G19:G24)</f>
        <v>-25237</v>
      </c>
      <c r="H18" s="53">
        <f t="shared" si="6"/>
        <v>12843103</v>
      </c>
      <c r="I18" s="53">
        <f t="shared" si="6"/>
        <v>22678</v>
      </c>
      <c r="J18" s="53">
        <f t="shared" si="6"/>
        <v>12865781</v>
      </c>
      <c r="K18" s="49" t="s">
        <v>40</v>
      </c>
      <c r="L18" s="50">
        <f aca="true" t="shared" si="7" ref="L18:T18">SUM(L19:L25)</f>
        <v>4931161</v>
      </c>
      <c r="M18" s="50">
        <f t="shared" si="7"/>
        <v>5508296</v>
      </c>
      <c r="N18" s="54">
        <f t="shared" si="7"/>
        <v>15679678</v>
      </c>
      <c r="O18" s="54">
        <f t="shared" si="7"/>
        <v>5057327</v>
      </c>
      <c r="P18" s="54">
        <f t="shared" si="7"/>
        <v>20946240</v>
      </c>
      <c r="Q18" s="55">
        <f>SUM(Q19:Q25)</f>
        <v>140336</v>
      </c>
      <c r="R18" s="55">
        <f t="shared" si="7"/>
        <v>21086576</v>
      </c>
      <c r="S18" s="55">
        <f t="shared" si="7"/>
        <v>150433</v>
      </c>
      <c r="T18" s="55">
        <f t="shared" si="7"/>
        <v>21237009</v>
      </c>
    </row>
    <row r="19" spans="1:20" ht="18.75" customHeight="1">
      <c r="A19" s="16" t="s">
        <v>41</v>
      </c>
      <c r="B19" s="17">
        <v>383423</v>
      </c>
      <c r="C19" s="27">
        <f>3144+310973</f>
        <v>314117</v>
      </c>
      <c r="D19" s="28">
        <v>1329725</v>
      </c>
      <c r="E19" s="28">
        <f>4842261-2531</f>
        <v>4839730</v>
      </c>
      <c r="F19" s="28">
        <v>6174628</v>
      </c>
      <c r="G19" s="29">
        <f>7-35000</f>
        <v>-34993</v>
      </c>
      <c r="H19" s="39">
        <f aca="true" t="shared" si="8" ref="F19:H24">+G19+F19</f>
        <v>6139635</v>
      </c>
      <c r="I19" s="39">
        <v>1375</v>
      </c>
      <c r="J19" s="39">
        <f aca="true" t="shared" si="9" ref="J19:J28">SUM(H19:I19)</f>
        <v>6141010</v>
      </c>
      <c r="K19" s="16" t="s">
        <v>42</v>
      </c>
      <c r="L19" s="17">
        <v>4137888</v>
      </c>
      <c r="M19" s="27">
        <f>326627+4355717+387</f>
        <v>4682731</v>
      </c>
      <c r="N19" s="28">
        <v>7724670</v>
      </c>
      <c r="O19" s="28">
        <f>8713411-5063</f>
        <v>8708348</v>
      </c>
      <c r="P19" s="28">
        <v>16961243</v>
      </c>
      <c r="Q19" s="29">
        <f>24637+499+369548+41045</f>
        <v>435729</v>
      </c>
      <c r="R19" s="39">
        <f aca="true" t="shared" si="10" ref="R19:R25">+Q19+P19</f>
        <v>17396972</v>
      </c>
      <c r="S19" s="39">
        <f>80+115574+-62737</f>
        <v>52917</v>
      </c>
      <c r="T19" s="39">
        <f>+R19+S19</f>
        <v>17449889</v>
      </c>
    </row>
    <row r="20" spans="1:20" ht="18.75" customHeight="1">
      <c r="A20" s="16" t="s">
        <v>43</v>
      </c>
      <c r="B20" s="17">
        <v>2298112</v>
      </c>
      <c r="C20" s="27">
        <f>74911+3115723</f>
        <v>3190634</v>
      </c>
      <c r="D20" s="28">
        <v>5137108</v>
      </c>
      <c r="E20" s="28">
        <v>61826</v>
      </c>
      <c r="F20" s="28">
        <v>5169631</v>
      </c>
      <c r="G20" s="29">
        <v>9598</v>
      </c>
      <c r="H20" s="39">
        <f t="shared" si="8"/>
        <v>5179229</v>
      </c>
      <c r="I20" s="39">
        <v>21004</v>
      </c>
      <c r="J20" s="39">
        <f t="shared" si="9"/>
        <v>5200233</v>
      </c>
      <c r="K20" s="16" t="s">
        <v>44</v>
      </c>
      <c r="L20" s="17">
        <v>303160</v>
      </c>
      <c r="M20" s="27">
        <f>131944+358202</f>
        <v>490146</v>
      </c>
      <c r="N20" s="28">
        <v>977111</v>
      </c>
      <c r="O20" s="28">
        <v>136205</v>
      </c>
      <c r="P20" s="28">
        <v>1195247</v>
      </c>
      <c r="Q20" s="29">
        <f>15844-10997</f>
        <v>4847</v>
      </c>
      <c r="R20" s="39">
        <f t="shared" si="10"/>
        <v>1200094</v>
      </c>
      <c r="S20" s="28">
        <f>15458+-115144</f>
        <v>-99686</v>
      </c>
      <c r="T20" s="39">
        <f aca="true" t="shared" si="11" ref="T20:T25">+R20+S20</f>
        <v>1100408</v>
      </c>
    </row>
    <row r="21" spans="1:20" ht="18.75" customHeight="1">
      <c r="A21" s="16" t="s">
        <v>45</v>
      </c>
      <c r="B21" s="17">
        <v>272671</v>
      </c>
      <c r="C21" s="27">
        <f>128216+585504</f>
        <v>713720</v>
      </c>
      <c r="D21" s="28">
        <v>596000</v>
      </c>
      <c r="E21" s="28"/>
      <c r="F21" s="28">
        <v>790971</v>
      </c>
      <c r="G21" s="29">
        <v>158</v>
      </c>
      <c r="H21" s="39">
        <f t="shared" si="8"/>
        <v>791129</v>
      </c>
      <c r="I21" s="39">
        <v>299</v>
      </c>
      <c r="J21" s="39">
        <f t="shared" si="9"/>
        <v>791428</v>
      </c>
      <c r="K21" s="16" t="s">
        <v>46</v>
      </c>
      <c r="L21" s="17">
        <v>29694</v>
      </c>
      <c r="M21" s="27">
        <v>81287</v>
      </c>
      <c r="N21" s="28">
        <v>87967</v>
      </c>
      <c r="O21" s="28"/>
      <c r="P21" s="28">
        <v>88658</v>
      </c>
      <c r="Q21" s="29">
        <f>250+1072</f>
        <v>1322</v>
      </c>
      <c r="R21" s="39">
        <f t="shared" si="10"/>
        <v>89980</v>
      </c>
      <c r="S21" s="28">
        <f>-54+20746+500</f>
        <v>21192</v>
      </c>
      <c r="T21" s="39">
        <f t="shared" si="11"/>
        <v>111172</v>
      </c>
    </row>
    <row r="22" spans="1:20" ht="18.75" customHeight="1">
      <c r="A22" s="16" t="s">
        <v>24</v>
      </c>
      <c r="B22" s="17">
        <v>52109</v>
      </c>
      <c r="C22" s="27">
        <v>13000</v>
      </c>
      <c r="D22" s="28">
        <v>23394</v>
      </c>
      <c r="E22" s="28"/>
      <c r="F22" s="28">
        <f t="shared" si="8"/>
        <v>23394</v>
      </c>
      <c r="G22" s="29"/>
      <c r="H22" s="39">
        <f t="shared" si="8"/>
        <v>23394</v>
      </c>
      <c r="I22" s="39"/>
      <c r="J22" s="39">
        <f t="shared" si="9"/>
        <v>23394</v>
      </c>
      <c r="K22" s="16" t="s">
        <v>47</v>
      </c>
      <c r="L22" s="17">
        <v>341073</v>
      </c>
      <c r="M22" s="27">
        <v>210441</v>
      </c>
      <c r="N22" s="28">
        <v>225283</v>
      </c>
      <c r="O22" s="28"/>
      <c r="P22" s="28">
        <v>210617</v>
      </c>
      <c r="Q22" s="29">
        <v>0</v>
      </c>
      <c r="R22" s="39">
        <f t="shared" si="10"/>
        <v>210617</v>
      </c>
      <c r="S22" s="28">
        <v>190100</v>
      </c>
      <c r="T22" s="39">
        <f t="shared" si="11"/>
        <v>400717</v>
      </c>
    </row>
    <row r="23" spans="1:20" ht="18.75" customHeight="1">
      <c r="A23" s="16" t="s">
        <v>28</v>
      </c>
      <c r="B23" s="17">
        <v>106604</v>
      </c>
      <c r="C23" s="27">
        <v>98232</v>
      </c>
      <c r="D23" s="28">
        <v>80500</v>
      </c>
      <c r="E23" s="28"/>
      <c r="F23" s="28">
        <f t="shared" si="8"/>
        <v>80500</v>
      </c>
      <c r="G23" s="29"/>
      <c r="H23" s="39">
        <f t="shared" si="8"/>
        <v>80500</v>
      </c>
      <c r="I23" s="39"/>
      <c r="J23" s="39">
        <f t="shared" si="9"/>
        <v>80500</v>
      </c>
      <c r="K23" s="16" t="s">
        <v>48</v>
      </c>
      <c r="L23" s="17">
        <v>117816</v>
      </c>
      <c r="M23" s="27">
        <v>43691</v>
      </c>
      <c r="N23" s="28">
        <v>69700</v>
      </c>
      <c r="O23" s="28"/>
      <c r="P23" s="28">
        <v>66700</v>
      </c>
      <c r="Q23" s="29">
        <v>0</v>
      </c>
      <c r="R23" s="39">
        <f t="shared" si="10"/>
        <v>66700</v>
      </c>
      <c r="S23" s="28">
        <v>-1000</v>
      </c>
      <c r="T23" s="39">
        <f t="shared" si="11"/>
        <v>65700</v>
      </c>
    </row>
    <row r="24" spans="1:20" ht="18.75" customHeight="1">
      <c r="A24" s="56" t="s">
        <v>49</v>
      </c>
      <c r="B24" s="17">
        <v>10500</v>
      </c>
      <c r="C24" s="27">
        <v>15294</v>
      </c>
      <c r="D24" s="28">
        <v>629216</v>
      </c>
      <c r="E24" s="28"/>
      <c r="F24" s="28">
        <f t="shared" si="8"/>
        <v>629216</v>
      </c>
      <c r="G24" s="29"/>
      <c r="H24" s="39">
        <f t="shared" si="8"/>
        <v>629216</v>
      </c>
      <c r="I24" s="39"/>
      <c r="J24" s="39">
        <f t="shared" si="9"/>
        <v>629216</v>
      </c>
      <c r="K24" s="16" t="s">
        <v>50</v>
      </c>
      <c r="L24" s="17">
        <v>1530</v>
      </c>
      <c r="M24" s="27">
        <v>0</v>
      </c>
      <c r="N24" s="28">
        <v>2002554</v>
      </c>
      <c r="O24" s="28">
        <v>-1997450</v>
      </c>
      <c r="P24" s="28">
        <v>5134</v>
      </c>
      <c r="Q24" s="29">
        <v>0</v>
      </c>
      <c r="R24" s="39">
        <f t="shared" si="10"/>
        <v>5134</v>
      </c>
      <c r="S24" s="28">
        <v>260</v>
      </c>
      <c r="T24" s="39">
        <f t="shared" si="11"/>
        <v>5394</v>
      </c>
    </row>
    <row r="25" spans="1:20" ht="18.75" customHeight="1">
      <c r="A25" s="16"/>
      <c r="B25" s="17"/>
      <c r="C25" s="27"/>
      <c r="D25" s="28"/>
      <c r="E25" s="28"/>
      <c r="F25" s="28"/>
      <c r="G25" s="29"/>
      <c r="H25" s="39"/>
      <c r="I25" s="39"/>
      <c r="J25" s="39">
        <f t="shared" si="9"/>
        <v>0</v>
      </c>
      <c r="K25" s="16" t="s">
        <v>51</v>
      </c>
      <c r="L25" s="27" t="s">
        <v>52</v>
      </c>
      <c r="M25" s="27" t="s">
        <v>36</v>
      </c>
      <c r="N25" s="28">
        <v>4592393</v>
      </c>
      <c r="O25" s="28">
        <v>-1789776</v>
      </c>
      <c r="P25" s="28">
        <v>2418641</v>
      </c>
      <c r="Q25" s="29">
        <v>-301562</v>
      </c>
      <c r="R25" s="39">
        <f t="shared" si="10"/>
        <v>2117079</v>
      </c>
      <c r="S25" s="28">
        <v>-13350</v>
      </c>
      <c r="T25" s="39">
        <f t="shared" si="11"/>
        <v>2103729</v>
      </c>
    </row>
    <row r="26" spans="1:20" ht="18.75" customHeight="1">
      <c r="A26" s="49" t="s">
        <v>53</v>
      </c>
      <c r="B26" s="50">
        <f aca="true" t="shared" si="12" ref="B26:J26">+B18+B2</f>
        <v>25450762</v>
      </c>
      <c r="C26" s="51">
        <f t="shared" si="12"/>
        <v>28150505</v>
      </c>
      <c r="D26" s="52">
        <f t="shared" si="12"/>
        <v>32239234</v>
      </c>
      <c r="E26" s="52">
        <f t="shared" si="12"/>
        <v>5804955</v>
      </c>
      <c r="F26" s="52">
        <f t="shared" si="12"/>
        <v>38676492</v>
      </c>
      <c r="G26" s="53">
        <f>+G18+G2</f>
        <v>297316</v>
      </c>
      <c r="H26" s="53">
        <f t="shared" si="12"/>
        <v>38973808</v>
      </c>
      <c r="I26" s="53">
        <f t="shared" si="12"/>
        <v>595313</v>
      </c>
      <c r="J26" s="53">
        <f t="shared" si="12"/>
        <v>39569121</v>
      </c>
      <c r="K26" s="49" t="s">
        <v>54</v>
      </c>
      <c r="L26" s="50">
        <f>L18+L2</f>
        <v>27876561</v>
      </c>
      <c r="M26" s="50">
        <f>M18+M2</f>
        <v>27385470</v>
      </c>
      <c r="N26" s="54">
        <f aca="true" t="shared" si="13" ref="N26:T26">SUM(N18+N2)</f>
        <v>39718501</v>
      </c>
      <c r="O26" s="54">
        <f t="shared" si="13"/>
        <v>5804955</v>
      </c>
      <c r="P26" s="54">
        <f t="shared" si="13"/>
        <v>46155759</v>
      </c>
      <c r="Q26" s="54">
        <f t="shared" si="13"/>
        <v>297316</v>
      </c>
      <c r="R26" s="55">
        <f t="shared" si="13"/>
        <v>46453075</v>
      </c>
      <c r="S26" s="55">
        <f t="shared" si="13"/>
        <v>595313</v>
      </c>
      <c r="T26" s="55">
        <f t="shared" si="13"/>
        <v>47048388</v>
      </c>
    </row>
    <row r="27" spans="1:20" ht="18.75" customHeight="1">
      <c r="A27" s="16" t="s">
        <v>55</v>
      </c>
      <c r="B27" s="57">
        <f>333928+1550273</f>
        <v>1884201</v>
      </c>
      <c r="C27" s="58">
        <v>0</v>
      </c>
      <c r="D27" s="28">
        <v>0</v>
      </c>
      <c r="E27" s="28"/>
      <c r="F27" s="28">
        <f>+E27+D27</f>
        <v>0</v>
      </c>
      <c r="G27" s="29"/>
      <c r="H27" s="39">
        <f>+G27+F27</f>
        <v>0</v>
      </c>
      <c r="I27" s="39"/>
      <c r="J27" s="39">
        <f t="shared" si="9"/>
        <v>0</v>
      </c>
      <c r="K27" s="16" t="s">
        <v>56</v>
      </c>
      <c r="L27" s="44">
        <v>0</v>
      </c>
      <c r="M27" s="27">
        <v>333928</v>
      </c>
      <c r="N27" s="28">
        <v>64593</v>
      </c>
      <c r="O27" s="28"/>
      <c r="P27" s="28">
        <f>+O27+N27</f>
        <v>64593</v>
      </c>
      <c r="Q27" s="29"/>
      <c r="R27" s="39">
        <f>+Q27+P27</f>
        <v>64593</v>
      </c>
      <c r="S27" s="28"/>
      <c r="T27" s="39">
        <v>64593</v>
      </c>
    </row>
    <row r="28" spans="1:20" ht="18.75" customHeight="1">
      <c r="A28" s="59" t="s">
        <v>57</v>
      </c>
      <c r="B28" s="17">
        <v>947638</v>
      </c>
      <c r="C28" s="27">
        <v>448915</v>
      </c>
      <c r="D28" s="28">
        <v>7685294</v>
      </c>
      <c r="E28" s="28"/>
      <c r="F28" s="28">
        <f>+E28+D28</f>
        <v>7685294</v>
      </c>
      <c r="G28" s="29"/>
      <c r="H28" s="39">
        <f>+G28+F28</f>
        <v>7685294</v>
      </c>
      <c r="I28" s="39"/>
      <c r="J28" s="39">
        <f t="shared" si="9"/>
        <v>7685294</v>
      </c>
      <c r="K28" s="59" t="s">
        <v>58</v>
      </c>
      <c r="L28" s="37">
        <v>246383</v>
      </c>
      <c r="M28" s="27">
        <v>227004</v>
      </c>
      <c r="N28" s="28">
        <v>141434</v>
      </c>
      <c r="O28" s="28"/>
      <c r="P28" s="28">
        <f>+O28+N28</f>
        <v>141434</v>
      </c>
      <c r="Q28" s="29"/>
      <c r="R28" s="39">
        <f>+Q28+P28</f>
        <v>141434</v>
      </c>
      <c r="S28" s="28"/>
      <c r="T28" s="39">
        <v>141434</v>
      </c>
    </row>
    <row r="29" spans="1:20" ht="18.75" customHeight="1">
      <c r="A29" s="49" t="s">
        <v>59</v>
      </c>
      <c r="B29" s="50">
        <f aca="true" t="shared" si="14" ref="B29:J29">SUM(B27:B28)</f>
        <v>2831839</v>
      </c>
      <c r="C29" s="51">
        <f t="shared" si="14"/>
        <v>448915</v>
      </c>
      <c r="D29" s="52">
        <f t="shared" si="14"/>
        <v>7685294</v>
      </c>
      <c r="E29" s="52">
        <f t="shared" si="14"/>
        <v>0</v>
      </c>
      <c r="F29" s="52">
        <f t="shared" si="14"/>
        <v>7685294</v>
      </c>
      <c r="G29" s="53">
        <f>SUM(G27:G28)</f>
        <v>0</v>
      </c>
      <c r="H29" s="53">
        <f t="shared" si="14"/>
        <v>7685294</v>
      </c>
      <c r="I29" s="53">
        <f t="shared" si="14"/>
        <v>0</v>
      </c>
      <c r="J29" s="53">
        <f t="shared" si="14"/>
        <v>7685294</v>
      </c>
      <c r="K29" s="49" t="s">
        <v>60</v>
      </c>
      <c r="L29" s="50">
        <f>SUM(L28:L28)</f>
        <v>246383</v>
      </c>
      <c r="M29" s="50">
        <f aca="true" t="shared" si="15" ref="M29:T29">SUM(M27:M28)</f>
        <v>560932</v>
      </c>
      <c r="N29" s="54">
        <f t="shared" si="15"/>
        <v>206027</v>
      </c>
      <c r="O29" s="54">
        <f t="shared" si="15"/>
        <v>0</v>
      </c>
      <c r="P29" s="54">
        <f t="shared" si="15"/>
        <v>206027</v>
      </c>
      <c r="Q29" s="55">
        <f>SUM(Q27:Q28)</f>
        <v>0</v>
      </c>
      <c r="R29" s="55">
        <f t="shared" si="15"/>
        <v>206027</v>
      </c>
      <c r="S29" s="55">
        <f t="shared" si="15"/>
        <v>0</v>
      </c>
      <c r="T29" s="55">
        <f t="shared" si="15"/>
        <v>206027</v>
      </c>
    </row>
    <row r="30" spans="1:20" ht="30" customHeight="1">
      <c r="A30" s="60" t="s">
        <v>61</v>
      </c>
      <c r="B30" s="61">
        <f aca="true" t="shared" si="16" ref="B30:J30">+B29+B26</f>
        <v>28282601</v>
      </c>
      <c r="C30" s="62">
        <f t="shared" si="16"/>
        <v>28599420</v>
      </c>
      <c r="D30" s="63">
        <f t="shared" si="16"/>
        <v>39924528</v>
      </c>
      <c r="E30" s="63">
        <f t="shared" si="16"/>
        <v>5804955</v>
      </c>
      <c r="F30" s="63">
        <f t="shared" si="16"/>
        <v>46361786</v>
      </c>
      <c r="G30" s="64">
        <f>+G29+G26</f>
        <v>297316</v>
      </c>
      <c r="H30" s="64">
        <f t="shared" si="16"/>
        <v>46659102</v>
      </c>
      <c r="I30" s="64">
        <f t="shared" si="16"/>
        <v>595313</v>
      </c>
      <c r="J30" s="64">
        <f t="shared" si="16"/>
        <v>47254415</v>
      </c>
      <c r="K30" s="60" t="s">
        <v>62</v>
      </c>
      <c r="L30" s="61">
        <f>SUM(L26+L29)</f>
        <v>28122944</v>
      </c>
      <c r="M30" s="61">
        <f>+M29+M26</f>
        <v>27946402</v>
      </c>
      <c r="N30" s="65">
        <f aca="true" t="shared" si="17" ref="N30:T30">SUM(N26+N29)</f>
        <v>39924528</v>
      </c>
      <c r="O30" s="65">
        <f t="shared" si="17"/>
        <v>5804955</v>
      </c>
      <c r="P30" s="65">
        <f t="shared" si="17"/>
        <v>46361786</v>
      </c>
      <c r="Q30" s="66">
        <f t="shared" si="17"/>
        <v>297316</v>
      </c>
      <c r="R30" s="66">
        <f t="shared" si="17"/>
        <v>46659102</v>
      </c>
      <c r="S30" s="66">
        <f t="shared" si="17"/>
        <v>595313</v>
      </c>
      <c r="T30" s="66">
        <f t="shared" si="17"/>
        <v>47254415</v>
      </c>
    </row>
  </sheetData>
  <sheetProtection selectLockedCells="1" selectUnlockedCells="1"/>
  <printOptions horizontalCentered="1" verticalCentered="1"/>
  <pageMargins left="0.2361111111111111" right="0.2361111111111111" top="0.7875000000000001" bottom="0.15763888888888888" header="0.2361111111111111" footer="0.5118055555555555"/>
  <pageSetup horizontalDpi="300" verticalDpi="300" orientation="landscape" paperSize="9" scale="80"/>
  <headerFooter alignWithMargins="0">
    <oddHeader xml:space="preserve">&amp;L&amp;"Arial,Dőlt" .../2008.(XII....)rendelet
1.számú melléklete&amp;C&amp;"Arial,Félkövér"&amp;12KMJV Önkormányzata
- a helyi kisebbségi önkormányzatok költségvetését is tartalmazó -
2008. évi költségvetési mérlege&amp;R&amp;12 1. számú táblázat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A16">
      <selection activeCell="R28" sqref="R28"/>
    </sheetView>
  </sheetViews>
  <sheetFormatPr defaultColWidth="10.28125" defaultRowHeight="15"/>
  <cols>
    <col min="1" max="1" width="42.421875" style="5" customWidth="1"/>
    <col min="2" max="3" width="0" style="2" hidden="1" customWidth="1"/>
    <col min="4" max="6" width="16.7109375" style="2" customWidth="1"/>
    <col min="7" max="7" width="32.421875" style="285" customWidth="1"/>
    <col min="8" max="16384" width="10.28125" style="5" customWidth="1"/>
  </cols>
  <sheetData>
    <row r="1" spans="1:7" s="288" customFormat="1" ht="54.75">
      <c r="A1" s="286" t="s">
        <v>329</v>
      </c>
      <c r="B1" s="287" t="s">
        <v>330</v>
      </c>
      <c r="C1" s="287" t="s">
        <v>4</v>
      </c>
      <c r="D1" s="287" t="s">
        <v>6</v>
      </c>
      <c r="E1" s="287" t="s">
        <v>4</v>
      </c>
      <c r="F1" s="287" t="s">
        <v>7</v>
      </c>
      <c r="G1" s="286" t="s">
        <v>331</v>
      </c>
    </row>
    <row r="2" spans="1:7" s="289" customFormat="1" ht="25.5" customHeight="1">
      <c r="A2" s="289" t="s">
        <v>332</v>
      </c>
      <c r="B2" s="290">
        <v>3484</v>
      </c>
      <c r="C2" s="290">
        <v>-132</v>
      </c>
      <c r="D2" s="290">
        <f>SUM(B2:C2)</f>
        <v>3352</v>
      </c>
      <c r="E2" s="290">
        <v>-1000</v>
      </c>
      <c r="F2" s="290">
        <f>SUM(D2:E2)</f>
        <v>2352</v>
      </c>
      <c r="G2" s="291" t="s">
        <v>333</v>
      </c>
    </row>
    <row r="3" spans="1:7" s="292" customFormat="1" ht="25.5" customHeight="1">
      <c r="A3" s="292" t="s">
        <v>334</v>
      </c>
      <c r="B3" s="293">
        <f>SUM(B2)</f>
        <v>3484</v>
      </c>
      <c r="C3" s="293">
        <f>SUM(C2)</f>
        <v>-132</v>
      </c>
      <c r="D3" s="293">
        <f>SUM(D2)</f>
        <v>3352</v>
      </c>
      <c r="E3" s="293">
        <f>SUM(E2)</f>
        <v>-1000</v>
      </c>
      <c r="F3" s="293">
        <f>SUM(F2)</f>
        <v>2352</v>
      </c>
      <c r="G3" s="286"/>
    </row>
    <row r="4" spans="1:9" s="289" customFormat="1" ht="25.5" customHeight="1">
      <c r="A4" s="289" t="s">
        <v>335</v>
      </c>
      <c r="B4" s="290">
        <v>113500</v>
      </c>
      <c r="C4" s="290">
        <v>-106312</v>
      </c>
      <c r="D4" s="294">
        <f aca="true" t="shared" si="0" ref="D4:D18">SUM(B4:C4)</f>
        <v>7188</v>
      </c>
      <c r="E4" s="294">
        <v>-6100</v>
      </c>
      <c r="F4" s="290">
        <f aca="true" t="shared" si="1" ref="F4:F24">SUM(D4:E4)</f>
        <v>1088</v>
      </c>
      <c r="G4" s="291" t="s">
        <v>336</v>
      </c>
      <c r="I4" s="289">
        <f>368447+87534+31275+3195+84+86+86</f>
        <v>490707</v>
      </c>
    </row>
    <row r="5" spans="1:19" s="289" customFormat="1" ht="25.5" customHeight="1">
      <c r="A5" s="289" t="s">
        <v>337</v>
      </c>
      <c r="B5" s="290">
        <v>3710</v>
      </c>
      <c r="C5" s="290">
        <v>-1990</v>
      </c>
      <c r="D5" s="294">
        <f t="shared" si="0"/>
        <v>1720</v>
      </c>
      <c r="E5" s="294">
        <v>-1720</v>
      </c>
      <c r="F5" s="290">
        <f t="shared" si="1"/>
        <v>0</v>
      </c>
      <c r="G5" s="291" t="s">
        <v>336</v>
      </c>
      <c r="S5" s="289">
        <f>+-20896+167669+1096+809+621</f>
        <v>149299</v>
      </c>
    </row>
    <row r="6" spans="1:9" s="289" customFormat="1" ht="25.5" customHeight="1">
      <c r="A6" s="289" t="s">
        <v>338</v>
      </c>
      <c r="B6" s="290">
        <v>2785</v>
      </c>
      <c r="C6" s="290">
        <v>-2450</v>
      </c>
      <c r="D6" s="294">
        <f t="shared" si="0"/>
        <v>335</v>
      </c>
      <c r="E6" s="294">
        <v>-234</v>
      </c>
      <c r="F6" s="290">
        <f t="shared" si="1"/>
        <v>101</v>
      </c>
      <c r="G6" s="291" t="s">
        <v>339</v>
      </c>
      <c r="I6" s="289">
        <f>-23663+27862+873+850+1000</f>
        <v>6922</v>
      </c>
    </row>
    <row r="7" spans="1:7" s="289" customFormat="1" ht="25.5" customHeight="1">
      <c r="A7" s="289" t="s">
        <v>340</v>
      </c>
      <c r="B7" s="290">
        <v>4280</v>
      </c>
      <c r="C7" s="290">
        <v>-3260</v>
      </c>
      <c r="D7" s="294">
        <f t="shared" si="0"/>
        <v>1020</v>
      </c>
      <c r="E7" s="294">
        <v>-620</v>
      </c>
      <c r="F7" s="290">
        <f t="shared" si="1"/>
        <v>400</v>
      </c>
      <c r="G7" s="291" t="s">
        <v>339</v>
      </c>
    </row>
    <row r="8" spans="1:7" s="295" customFormat="1" ht="25.5" customHeight="1">
      <c r="A8" s="295" t="s">
        <v>341</v>
      </c>
      <c r="B8" s="296">
        <v>6200</v>
      </c>
      <c r="C8" s="296">
        <v>-5190</v>
      </c>
      <c r="D8" s="297">
        <f t="shared" si="0"/>
        <v>1010</v>
      </c>
      <c r="E8" s="297">
        <v>-1010</v>
      </c>
      <c r="F8" s="296">
        <f t="shared" si="1"/>
        <v>0</v>
      </c>
      <c r="G8" s="298" t="s">
        <v>342</v>
      </c>
    </row>
    <row r="9" spans="1:7" s="289" customFormat="1" ht="25.5" customHeight="1">
      <c r="A9" s="289" t="s">
        <v>343</v>
      </c>
      <c r="B9" s="290">
        <v>7000</v>
      </c>
      <c r="C9" s="290">
        <v>-1960</v>
      </c>
      <c r="D9" s="294">
        <f t="shared" si="0"/>
        <v>5040</v>
      </c>
      <c r="E9" s="294">
        <v>-4600</v>
      </c>
      <c r="F9" s="290">
        <f t="shared" si="1"/>
        <v>440</v>
      </c>
      <c r="G9" s="291" t="s">
        <v>342</v>
      </c>
    </row>
    <row r="10" spans="1:7" s="289" customFormat="1" ht="25.5" customHeight="1">
      <c r="A10" s="289" t="s">
        <v>344</v>
      </c>
      <c r="B10" s="290">
        <v>1200</v>
      </c>
      <c r="C10" s="290">
        <v>0</v>
      </c>
      <c r="D10" s="294">
        <f t="shared" si="0"/>
        <v>1200</v>
      </c>
      <c r="E10" s="294">
        <v>-1200</v>
      </c>
      <c r="F10" s="290">
        <f t="shared" si="1"/>
        <v>0</v>
      </c>
      <c r="G10" s="291" t="s">
        <v>345</v>
      </c>
    </row>
    <row r="11" spans="1:7" s="289" customFormat="1" ht="25.5" customHeight="1">
      <c r="A11" s="289" t="s">
        <v>346</v>
      </c>
      <c r="B11" s="290">
        <v>7576</v>
      </c>
      <c r="C11" s="290">
        <v>-491</v>
      </c>
      <c r="D11" s="294">
        <f t="shared" si="0"/>
        <v>7085</v>
      </c>
      <c r="E11" s="294">
        <v>-5762</v>
      </c>
      <c r="F11" s="290">
        <f t="shared" si="1"/>
        <v>1323</v>
      </c>
      <c r="G11" s="291" t="s">
        <v>347</v>
      </c>
    </row>
    <row r="12" spans="1:7" s="289" customFormat="1" ht="25.5" customHeight="1">
      <c r="A12" s="289" t="s">
        <v>348</v>
      </c>
      <c r="B12" s="290">
        <v>3000</v>
      </c>
      <c r="C12" s="290">
        <v>-2855</v>
      </c>
      <c r="D12" s="294">
        <f t="shared" si="0"/>
        <v>145</v>
      </c>
      <c r="E12" s="294">
        <v>0</v>
      </c>
      <c r="F12" s="290">
        <f t="shared" si="1"/>
        <v>145</v>
      </c>
      <c r="G12" s="291" t="s">
        <v>349</v>
      </c>
    </row>
    <row r="13" spans="1:7" s="289" customFormat="1" ht="25.5" customHeight="1">
      <c r="A13" s="289" t="s">
        <v>350</v>
      </c>
      <c r="B13" s="290">
        <v>1790</v>
      </c>
      <c r="C13" s="290">
        <v>-1755</v>
      </c>
      <c r="D13" s="294">
        <f t="shared" si="0"/>
        <v>35</v>
      </c>
      <c r="E13" s="294">
        <v>-35</v>
      </c>
      <c r="F13" s="290">
        <f t="shared" si="1"/>
        <v>0</v>
      </c>
      <c r="G13" s="291" t="s">
        <v>349</v>
      </c>
    </row>
    <row r="14" spans="1:7" s="289" customFormat="1" ht="25.5" customHeight="1">
      <c r="A14" s="289" t="s">
        <v>351</v>
      </c>
      <c r="B14" s="290">
        <v>21300</v>
      </c>
      <c r="C14" s="290">
        <v>-15000</v>
      </c>
      <c r="D14" s="294">
        <f t="shared" si="0"/>
        <v>6300</v>
      </c>
      <c r="E14" s="294">
        <v>-3505</v>
      </c>
      <c r="F14" s="290">
        <f t="shared" si="1"/>
        <v>2795</v>
      </c>
      <c r="G14" s="291" t="s">
        <v>352</v>
      </c>
    </row>
    <row r="15" spans="1:7" s="289" customFormat="1" ht="25.5" customHeight="1">
      <c r="A15" s="289" t="s">
        <v>353</v>
      </c>
      <c r="B15" s="290">
        <v>5000</v>
      </c>
      <c r="C15" s="290">
        <v>0</v>
      </c>
      <c r="D15" s="294">
        <f t="shared" si="0"/>
        <v>5000</v>
      </c>
      <c r="E15" s="294">
        <v>-4850</v>
      </c>
      <c r="F15" s="290">
        <f t="shared" si="1"/>
        <v>150</v>
      </c>
      <c r="G15" s="291" t="s">
        <v>333</v>
      </c>
    </row>
    <row r="16" spans="1:8" s="289" customFormat="1" ht="25.5" customHeight="1">
      <c r="A16" s="289" t="s">
        <v>354</v>
      </c>
      <c r="B16" s="290">
        <v>163</v>
      </c>
      <c r="C16" s="290">
        <v>0</v>
      </c>
      <c r="D16" s="294">
        <f t="shared" si="0"/>
        <v>163</v>
      </c>
      <c r="E16" s="294">
        <v>-50</v>
      </c>
      <c r="F16" s="290">
        <f t="shared" si="1"/>
        <v>113</v>
      </c>
      <c r="G16" s="291" t="s">
        <v>333</v>
      </c>
      <c r="H16" s="299"/>
    </row>
    <row r="17" spans="1:7" s="289" customFormat="1" ht="25.5" customHeight="1">
      <c r="A17" s="289" t="s">
        <v>355</v>
      </c>
      <c r="B17" s="290">
        <v>3557</v>
      </c>
      <c r="C17" s="290">
        <v>0</v>
      </c>
      <c r="D17" s="294">
        <f t="shared" si="0"/>
        <v>3557</v>
      </c>
      <c r="E17" s="294">
        <v>-270</v>
      </c>
      <c r="F17" s="290">
        <f t="shared" si="1"/>
        <v>3287</v>
      </c>
      <c r="G17" s="291" t="s">
        <v>333</v>
      </c>
    </row>
    <row r="18" spans="1:7" s="295" customFormat="1" ht="26.25">
      <c r="A18" s="300" t="s">
        <v>356</v>
      </c>
      <c r="B18" s="296">
        <v>0</v>
      </c>
      <c r="C18" s="296">
        <v>640</v>
      </c>
      <c r="D18" s="297">
        <f t="shared" si="0"/>
        <v>640</v>
      </c>
      <c r="E18" s="297">
        <v>-640</v>
      </c>
      <c r="F18" s="296">
        <f t="shared" si="1"/>
        <v>0</v>
      </c>
      <c r="G18" s="298" t="s">
        <v>333</v>
      </c>
    </row>
    <row r="19" spans="1:19" s="292" customFormat="1" ht="25.5" customHeight="1">
      <c r="A19" s="292" t="s">
        <v>357</v>
      </c>
      <c r="B19" s="293">
        <f>SUM(B4:B18)</f>
        <v>181061</v>
      </c>
      <c r="C19" s="293">
        <f>SUM(C4:C18)</f>
        <v>-140623</v>
      </c>
      <c r="D19" s="293">
        <f>SUM(D4:D18)</f>
        <v>40438</v>
      </c>
      <c r="E19" s="293">
        <f>SUM(E4:E18)</f>
        <v>-30596</v>
      </c>
      <c r="F19" s="293">
        <f>SUM(F4:F18)</f>
        <v>9842</v>
      </c>
      <c r="G19" s="286"/>
      <c r="S19" s="292">
        <f>80+115574+-62737</f>
        <v>52917</v>
      </c>
    </row>
    <row r="20" spans="1:7" s="289" customFormat="1" ht="25.5" customHeight="1">
      <c r="A20" s="289" t="s">
        <v>358</v>
      </c>
      <c r="B20" s="290">
        <v>4000</v>
      </c>
      <c r="C20" s="290">
        <v>0</v>
      </c>
      <c r="D20" s="290">
        <f>SUM(B20:C20)</f>
        <v>4000</v>
      </c>
      <c r="E20" s="290">
        <v>-4000</v>
      </c>
      <c r="F20" s="290">
        <f t="shared" si="1"/>
        <v>0</v>
      </c>
      <c r="G20" s="291" t="s">
        <v>359</v>
      </c>
    </row>
    <row r="21" spans="1:7" s="289" customFormat="1" ht="25.5" customHeight="1">
      <c r="A21" s="289" t="s">
        <v>360</v>
      </c>
      <c r="B21" s="290">
        <v>4000</v>
      </c>
      <c r="C21" s="290">
        <v>0</v>
      </c>
      <c r="D21" s="290">
        <f>SUM(B21:C21)</f>
        <v>4000</v>
      </c>
      <c r="E21" s="290">
        <v>-4000</v>
      </c>
      <c r="F21" s="290">
        <f t="shared" si="1"/>
        <v>0</v>
      </c>
      <c r="G21" s="291" t="s">
        <v>359</v>
      </c>
    </row>
    <row r="22" spans="1:7" s="289" customFormat="1" ht="25.5" customHeight="1">
      <c r="A22" s="289" t="s">
        <v>361</v>
      </c>
      <c r="B22" s="290">
        <v>118250</v>
      </c>
      <c r="C22" s="290">
        <v>-112562</v>
      </c>
      <c r="D22" s="290">
        <f>SUM(B22:C22)</f>
        <v>5688</v>
      </c>
      <c r="E22" s="290">
        <v>-5350</v>
      </c>
      <c r="F22" s="290">
        <f t="shared" si="1"/>
        <v>338</v>
      </c>
      <c r="G22" s="291" t="s">
        <v>362</v>
      </c>
    </row>
    <row r="23" spans="1:7" s="289" customFormat="1" ht="25.5" customHeight="1">
      <c r="A23" s="289" t="s">
        <v>363</v>
      </c>
      <c r="B23" s="290">
        <v>292391</v>
      </c>
      <c r="C23" s="290">
        <v>-189000</v>
      </c>
      <c r="D23" s="290">
        <f>SUM(B23:C23)</f>
        <v>103391</v>
      </c>
      <c r="E23" s="290">
        <v>0</v>
      </c>
      <c r="F23" s="290">
        <f t="shared" si="1"/>
        <v>103391</v>
      </c>
      <c r="G23" s="291" t="s">
        <v>333</v>
      </c>
    </row>
    <row r="24" spans="1:7" s="289" customFormat="1" ht="25.5" customHeight="1">
      <c r="A24" s="289" t="s">
        <v>364</v>
      </c>
      <c r="B24" s="290">
        <v>2000000</v>
      </c>
      <c r="C24" s="290">
        <v>0</v>
      </c>
      <c r="D24" s="290">
        <f>SUM(B24:C24)</f>
        <v>2000000</v>
      </c>
      <c r="E24" s="290">
        <v>0</v>
      </c>
      <c r="F24" s="290">
        <f t="shared" si="1"/>
        <v>2000000</v>
      </c>
      <c r="G24" s="291" t="s">
        <v>365</v>
      </c>
    </row>
    <row r="25" spans="1:7" s="302" customFormat="1" ht="25.5" customHeight="1">
      <c r="A25" s="292" t="s">
        <v>366</v>
      </c>
      <c r="B25" s="293">
        <f>SUM(B20:B24)</f>
        <v>2418641</v>
      </c>
      <c r="C25" s="293">
        <f>SUM(C20:C24)</f>
        <v>-301562</v>
      </c>
      <c r="D25" s="293">
        <f>SUM(D20:D24)</f>
        <v>2117079</v>
      </c>
      <c r="E25" s="293">
        <f>SUM(E20:E24)</f>
        <v>-13350</v>
      </c>
      <c r="F25" s="293">
        <f>SUM(F20:F24)</f>
        <v>2103729</v>
      </c>
      <c r="G25" s="301"/>
    </row>
    <row r="26" spans="1:7" s="306" customFormat="1" ht="43.5" customHeight="1">
      <c r="A26" s="303" t="s">
        <v>367</v>
      </c>
      <c r="B26" s="304">
        <f>+B25+B19+B3</f>
        <v>2603186</v>
      </c>
      <c r="C26" s="304">
        <f>+C25+C19+C3</f>
        <v>-442317</v>
      </c>
      <c r="D26" s="304">
        <f>+D25+D19+D3</f>
        <v>2160869</v>
      </c>
      <c r="E26" s="304">
        <f>+E25+E19+E3</f>
        <v>-44946</v>
      </c>
      <c r="F26" s="304">
        <f>+F25+F19+F3</f>
        <v>2115923</v>
      </c>
      <c r="G26" s="305"/>
    </row>
  </sheetData>
  <sheetProtection selectLockedCells="1" selectUnlockedCells="1"/>
  <printOptions gridLines="1" horizontalCentered="1" verticalCentered="1"/>
  <pageMargins left="0.3541666666666667" right="0.3541666666666667" top="1.2194444444444446" bottom="0.8861111111111111" header="0.7875" footer="0.5118055555555555"/>
  <pageSetup firstPageNumber="1" useFirstPageNumber="1" horizontalDpi="300" verticalDpi="300" orientation="portrait" paperSize="9" scale="75"/>
  <headerFooter alignWithMargins="0">
    <oddHeader>&amp;L&amp;"Times New Roman,Normál"&amp;12.../2008.(XI...) rendelet
3. számú melléklete&amp;C&amp;"Arial Black,Normál"&amp;12TARTALÉKOK
2008. ÉVI ELŐIRÁNYZATA&amp;R&amp;"Times New Roman,Normál"&amp;12 3/c. számú táblázat
adatok E Ft-ban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A97"/>
  <sheetViews>
    <sheetView workbookViewId="0" topLeftCell="A76">
      <selection activeCell="P30" sqref="P30"/>
    </sheetView>
  </sheetViews>
  <sheetFormatPr defaultColWidth="9.140625" defaultRowHeight="15"/>
  <cols>
    <col min="1" max="1" width="100.00390625" style="5" customWidth="1"/>
    <col min="2" max="2" width="12.140625" style="5" customWidth="1"/>
    <col min="3" max="16384" width="9.140625" style="5" customWidth="1"/>
  </cols>
  <sheetData>
    <row r="3" ht="14.25">
      <c r="A3" s="5" t="s">
        <v>368</v>
      </c>
    </row>
    <row r="4" ht="14.25">
      <c r="A4" s="5" t="s">
        <v>369</v>
      </c>
    </row>
    <row r="5" ht="14.25">
      <c r="A5" s="5" t="s">
        <v>370</v>
      </c>
    </row>
    <row r="6" ht="14.25">
      <c r="A6" s="5" t="s">
        <v>371</v>
      </c>
    </row>
    <row r="7" ht="14.25">
      <c r="A7" s="5" t="s">
        <v>372</v>
      </c>
    </row>
    <row r="8" ht="14.25">
      <c r="A8" s="307"/>
    </row>
    <row r="9" ht="14.25">
      <c r="A9" s="5" t="s">
        <v>373</v>
      </c>
    </row>
    <row r="10" ht="14.25">
      <c r="A10" s="307" t="s">
        <v>374</v>
      </c>
    </row>
    <row r="11" ht="14.25">
      <c r="A11" s="5" t="s">
        <v>375</v>
      </c>
    </row>
    <row r="12" ht="14.25">
      <c r="A12" s="5" t="s">
        <v>376</v>
      </c>
    </row>
    <row r="13" ht="14.25">
      <c r="A13" s="5" t="s">
        <v>377</v>
      </c>
    </row>
    <row r="14" ht="14.25">
      <c r="A14" s="5" t="s">
        <v>378</v>
      </c>
    </row>
    <row r="15" ht="14.25">
      <c r="A15" s="308" t="s">
        <v>379</v>
      </c>
    </row>
    <row r="16" ht="14.25">
      <c r="A16" s="5" t="s">
        <v>380</v>
      </c>
    </row>
    <row r="17" ht="14.25">
      <c r="A17" s="5" t="s">
        <v>381</v>
      </c>
    </row>
    <row r="18" ht="14.25">
      <c r="A18" s="5" t="s">
        <v>382</v>
      </c>
    </row>
    <row r="20" ht="14.25">
      <c r="A20" s="5" t="s">
        <v>383</v>
      </c>
    </row>
    <row r="21" ht="14.25">
      <c r="A21" s="5" t="s">
        <v>384</v>
      </c>
    </row>
    <row r="22" ht="14.25">
      <c r="A22" s="5" t="s">
        <v>385</v>
      </c>
    </row>
    <row r="23" ht="14.25">
      <c r="A23" s="5" t="s">
        <v>386</v>
      </c>
    </row>
    <row r="24" ht="14.25">
      <c r="A24" s="308" t="s">
        <v>387</v>
      </c>
    </row>
    <row r="25" ht="14.25">
      <c r="A25" s="5" t="s">
        <v>388</v>
      </c>
    </row>
    <row r="26" ht="14.25">
      <c r="A26" s="5" t="s">
        <v>389</v>
      </c>
    </row>
    <row r="27" ht="14.25">
      <c r="A27" s="5" t="s">
        <v>390</v>
      </c>
    </row>
    <row r="29" ht="14.25">
      <c r="A29" s="5" t="s">
        <v>391</v>
      </c>
    </row>
    <row r="30" ht="14.25">
      <c r="A30" s="5" t="s">
        <v>392</v>
      </c>
    </row>
    <row r="31" ht="14.25">
      <c r="A31" s="6" t="s">
        <v>393</v>
      </c>
    </row>
    <row r="32" ht="14.25">
      <c r="A32" s="6" t="s">
        <v>394</v>
      </c>
    </row>
    <row r="33" ht="14.25">
      <c r="A33" s="5" t="s">
        <v>395</v>
      </c>
    </row>
    <row r="34" ht="14.25">
      <c r="A34" s="309" t="s">
        <v>396</v>
      </c>
    </row>
    <row r="35" ht="14.25">
      <c r="A35" s="5" t="s">
        <v>397</v>
      </c>
    </row>
    <row r="36" ht="14.25">
      <c r="A36" s="5" t="s">
        <v>398</v>
      </c>
    </row>
    <row r="38" ht="14.25">
      <c r="A38" s="5" t="s">
        <v>399</v>
      </c>
    </row>
    <row r="39" ht="14.25">
      <c r="A39" s="5" t="s">
        <v>400</v>
      </c>
    </row>
    <row r="40" ht="14.25">
      <c r="A40" s="5" t="s">
        <v>401</v>
      </c>
    </row>
    <row r="41" ht="14.25">
      <c r="A41" s="5" t="s">
        <v>402</v>
      </c>
    </row>
    <row r="42" ht="14.25">
      <c r="A42" s="5" t="s">
        <v>403</v>
      </c>
    </row>
    <row r="43" ht="14.25">
      <c r="A43" s="5" t="s">
        <v>404</v>
      </c>
    </row>
    <row r="44" ht="14.25">
      <c r="A44" s="308" t="s">
        <v>405</v>
      </c>
    </row>
    <row r="45" ht="14.25">
      <c r="A45" s="5" t="s">
        <v>406</v>
      </c>
    </row>
    <row r="47" ht="10.5" customHeight="1">
      <c r="A47" s="310" t="s">
        <v>407</v>
      </c>
    </row>
    <row r="48" ht="11.25" customHeight="1">
      <c r="A48" s="310"/>
    </row>
    <row r="49" ht="15.75" customHeight="1">
      <c r="A49" s="311" t="s">
        <v>408</v>
      </c>
    </row>
    <row r="50" ht="14.25">
      <c r="A50" s="312" t="s">
        <v>409</v>
      </c>
    </row>
    <row r="51" ht="14.25">
      <c r="A51" s="5" t="s">
        <v>410</v>
      </c>
    </row>
    <row r="57" ht="14.25">
      <c r="A57" s="5" t="s">
        <v>411</v>
      </c>
    </row>
    <row r="58" ht="14.25">
      <c r="A58" s="5" t="s">
        <v>412</v>
      </c>
    </row>
    <row r="59" ht="14.25">
      <c r="A59" s="5" t="s">
        <v>413</v>
      </c>
    </row>
    <row r="60" ht="14.25">
      <c r="A60" s="5" t="s">
        <v>414</v>
      </c>
    </row>
    <row r="62" ht="14.25">
      <c r="A62" s="5" t="s">
        <v>415</v>
      </c>
    </row>
    <row r="63" ht="14.25">
      <c r="A63" s="5" t="s">
        <v>416</v>
      </c>
    </row>
    <row r="64" ht="14.25">
      <c r="A64" s="5" t="s">
        <v>417</v>
      </c>
    </row>
    <row r="65" ht="14.25">
      <c r="A65" s="5" t="s">
        <v>418</v>
      </c>
    </row>
    <row r="66" ht="14.25">
      <c r="A66" s="312" t="s">
        <v>419</v>
      </c>
    </row>
    <row r="67" ht="14.25">
      <c r="A67" s="311"/>
    </row>
    <row r="68" ht="14.25">
      <c r="A68" s="5" t="s">
        <v>420</v>
      </c>
    </row>
    <row r="69" ht="14.25">
      <c r="A69" s="5" t="s">
        <v>421</v>
      </c>
    </row>
    <row r="70" ht="14.25">
      <c r="A70" s="5" t="s">
        <v>422</v>
      </c>
    </row>
    <row r="71" ht="14.25">
      <c r="A71" s="5" t="s">
        <v>423</v>
      </c>
    </row>
    <row r="72" ht="14.25">
      <c r="A72" s="5" t="s">
        <v>424</v>
      </c>
    </row>
    <row r="73" ht="14.25">
      <c r="A73" s="5" t="s">
        <v>425</v>
      </c>
    </row>
    <row r="74" ht="14.25">
      <c r="A74" s="5" t="s">
        <v>426</v>
      </c>
    </row>
    <row r="76" ht="14.25">
      <c r="A76" s="5" t="s">
        <v>427</v>
      </c>
    </row>
    <row r="78" ht="14.25">
      <c r="A78" s="5" t="s">
        <v>428</v>
      </c>
    </row>
    <row r="79" ht="14.25">
      <c r="A79" s="5" t="s">
        <v>429</v>
      </c>
    </row>
    <row r="80" ht="14.25">
      <c r="A80" s="5" t="s">
        <v>430</v>
      </c>
    </row>
    <row r="81" ht="14.25">
      <c r="A81" s="5" t="s">
        <v>431</v>
      </c>
    </row>
    <row r="83" ht="14.25">
      <c r="A83" s="5" t="s">
        <v>432</v>
      </c>
    </row>
    <row r="85" ht="14.25">
      <c r="A85" s="5" t="s">
        <v>433</v>
      </c>
    </row>
    <row r="87" ht="14.25">
      <c r="A87" s="5" t="s">
        <v>434</v>
      </c>
    </row>
    <row r="89" ht="14.25">
      <c r="A89" s="5" t="s">
        <v>435</v>
      </c>
    </row>
    <row r="90" ht="14.25">
      <c r="A90" s="5" t="s">
        <v>436</v>
      </c>
    </row>
    <row r="92" ht="14.25">
      <c r="A92" s="5" t="s">
        <v>437</v>
      </c>
    </row>
    <row r="94" ht="14.25">
      <c r="A94" s="5" t="s">
        <v>438</v>
      </c>
    </row>
    <row r="95" ht="14.25">
      <c r="A95" s="5" t="s">
        <v>439</v>
      </c>
    </row>
    <row r="97" ht="14.25">
      <c r="A97" s="313"/>
    </row>
  </sheetData>
  <sheetProtection selectLockedCells="1" selectUnlockedCells="1"/>
  <mergeCells count="1">
    <mergeCell ref="A47:A48"/>
  </mergeCells>
  <printOptions/>
  <pageMargins left="0.7479166666666667" right="0.7479166666666667" top="1.3777777777777778" bottom="0.9840277777777777" header="0.5118055555555555" footer="0.5118055555555555"/>
  <pageSetup horizontalDpi="300" verticalDpi="300" orientation="portrait" paperSize="9"/>
  <headerFooter alignWithMargins="0">
    <oddHeader>&amp;C&amp;"Arial CE,Félkövér"&amp;14 2008. évi 
KÖLTSÉGVETÉS
CÍMRENDJE&amp;R4. számú táblázat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1"/>
  <sheetViews>
    <sheetView zoomScaleSheetLayoutView="100" workbookViewId="0" topLeftCell="B1">
      <selection activeCell="H23" sqref="H23"/>
    </sheetView>
  </sheetViews>
  <sheetFormatPr defaultColWidth="9.140625" defaultRowHeight="15"/>
  <cols>
    <col min="1" max="1" width="3.140625" style="314" customWidth="1"/>
    <col min="2" max="2" width="9.140625" style="314" customWidth="1"/>
    <col min="3" max="3" width="42.00390625" style="314" customWidth="1"/>
    <col min="4" max="11" width="0" style="315" hidden="1" customWidth="1"/>
    <col min="12" max="12" width="17.28125" style="315" customWidth="1"/>
    <col min="13" max="13" width="0" style="314" hidden="1" customWidth="1"/>
    <col min="14" max="14" width="13.57421875" style="315" customWidth="1"/>
    <col min="15" max="15" width="9.140625" style="315" customWidth="1"/>
    <col min="16" max="16" width="11.57421875" style="315" customWidth="1"/>
    <col min="17" max="17" width="11.8515625" style="315" customWidth="1"/>
    <col min="18" max="18" width="9.140625" style="315" customWidth="1"/>
    <col min="19" max="19" width="10.7109375" style="315" customWidth="1"/>
    <col min="20" max="20" width="12.140625" style="315" customWidth="1"/>
    <col min="21" max="21" width="12.8515625" style="315" customWidth="1"/>
    <col min="22" max="22" width="12.421875" style="315" customWidth="1"/>
    <col min="23" max="23" width="10.28125" style="315" customWidth="1"/>
    <col min="24" max="24" width="11.28125" style="315" customWidth="1"/>
    <col min="25" max="25" width="9.140625" style="315" customWidth="1"/>
    <col min="26" max="26" width="10.7109375" style="315" customWidth="1"/>
    <col min="27" max="27" width="12.28125" style="314" customWidth="1"/>
    <col min="28" max="16384" width="9.140625" style="314" customWidth="1"/>
  </cols>
  <sheetData>
    <row r="1" spans="1:13" ht="14.25" customHeight="1">
      <c r="A1" s="316" t="s">
        <v>329</v>
      </c>
      <c r="B1" s="316"/>
      <c r="C1" s="316"/>
      <c r="D1" s="317" t="s">
        <v>440</v>
      </c>
      <c r="E1" s="317"/>
      <c r="F1" s="318"/>
      <c r="G1" s="317" t="s">
        <v>441</v>
      </c>
      <c r="H1" s="317"/>
      <c r="I1" s="317"/>
      <c r="J1" s="317"/>
      <c r="K1" s="317"/>
      <c r="L1" s="319" t="s">
        <v>442</v>
      </c>
      <c r="M1" s="316" t="s">
        <v>443</v>
      </c>
    </row>
    <row r="2" spans="4:26" s="316" customFormat="1" ht="51.75" customHeight="1">
      <c r="D2" s="320" t="s">
        <v>444</v>
      </c>
      <c r="E2" s="320" t="s">
        <v>152</v>
      </c>
      <c r="F2" s="321" t="s">
        <v>445</v>
      </c>
      <c r="G2" s="320" t="s">
        <v>446</v>
      </c>
      <c r="H2" s="320" t="s">
        <v>447</v>
      </c>
      <c r="I2" s="320" t="s">
        <v>448</v>
      </c>
      <c r="J2" s="320" t="s">
        <v>449</v>
      </c>
      <c r="K2" s="320" t="s">
        <v>450</v>
      </c>
      <c r="L2" s="319"/>
      <c r="N2" s="322" t="s">
        <v>451</v>
      </c>
      <c r="O2" s="322" t="s">
        <v>452</v>
      </c>
      <c r="P2" s="322" t="s">
        <v>453</v>
      </c>
      <c r="Q2" s="322" t="s">
        <v>454</v>
      </c>
      <c r="R2" s="322" t="s">
        <v>455</v>
      </c>
      <c r="S2" s="322" t="s">
        <v>456</v>
      </c>
      <c r="T2" s="322" t="s">
        <v>457</v>
      </c>
      <c r="U2" s="322" t="s">
        <v>458</v>
      </c>
      <c r="V2" s="322" t="s">
        <v>459</v>
      </c>
      <c r="W2" s="322" t="s">
        <v>460</v>
      </c>
      <c r="X2" s="322" t="s">
        <v>461</v>
      </c>
      <c r="Y2" s="322" t="s">
        <v>462</v>
      </c>
      <c r="Z2" s="322" t="s">
        <v>463</v>
      </c>
    </row>
    <row r="3" spans="1:27" s="324" customFormat="1" ht="17.25" customHeight="1">
      <c r="A3" s="323" t="s">
        <v>464</v>
      </c>
      <c r="D3" s="325" t="e">
        <f>+D9+D4</f>
        <v>#REF!</v>
      </c>
      <c r="E3" s="325" t="e">
        <f>+E9+E4</f>
        <v>#REF!</v>
      </c>
      <c r="F3" s="325" t="e">
        <f>+F9+F4</f>
        <v>#REF!</v>
      </c>
      <c r="G3" s="325" t="e">
        <f>G4+G9</f>
        <v>#REF!</v>
      </c>
      <c r="H3" s="325" t="e">
        <f>H4+H9</f>
        <v>#REF!</v>
      </c>
      <c r="I3" s="325" t="e">
        <f>I4+I9</f>
        <v>#REF!</v>
      </c>
      <c r="J3" s="325" t="e">
        <f>J4+J9</f>
        <v>#REF!</v>
      </c>
      <c r="K3" s="325" t="e">
        <f>K4+K9</f>
        <v>#REF!</v>
      </c>
      <c r="L3" s="326">
        <f>SUM(L9,L4)</f>
        <v>12982496</v>
      </c>
      <c r="N3" s="326">
        <f aca="true" t="shared" si="0" ref="N3:Y3">SUM(N4,N9)</f>
        <v>682308.25</v>
      </c>
      <c r="O3" s="326">
        <f t="shared" si="0"/>
        <v>543307.25</v>
      </c>
      <c r="P3" s="326">
        <f t="shared" si="0"/>
        <v>2935804.25</v>
      </c>
      <c r="Q3" s="326">
        <f t="shared" si="0"/>
        <v>553307.25</v>
      </c>
      <c r="R3" s="326">
        <f t="shared" si="0"/>
        <v>523305.25</v>
      </c>
      <c r="S3" s="326">
        <f t="shared" si="0"/>
        <v>545804.25</v>
      </c>
      <c r="T3" s="326">
        <f t="shared" si="0"/>
        <v>533305.25</v>
      </c>
      <c r="U3" s="326">
        <f t="shared" si="0"/>
        <v>658604.25</v>
      </c>
      <c r="V3" s="326">
        <f t="shared" si="0"/>
        <v>3703642.25</v>
      </c>
      <c r="W3" s="326">
        <f t="shared" si="0"/>
        <v>565304.25</v>
      </c>
      <c r="X3" s="326">
        <f t="shared" si="0"/>
        <v>621996.25</v>
      </c>
      <c r="Y3" s="326">
        <f t="shared" si="0"/>
        <v>1115807.25</v>
      </c>
      <c r="Z3" s="326">
        <f>SUM(N3:Y3)</f>
        <v>12982496</v>
      </c>
      <c r="AA3" s="325"/>
    </row>
    <row r="4" spans="1:27" s="324" customFormat="1" ht="15" customHeight="1">
      <c r="A4" s="323" t="s">
        <v>465</v>
      </c>
      <c r="D4" s="325" t="e">
        <f>+D5+D6+D7+D8</f>
        <v>#REF!</v>
      </c>
      <c r="E4" s="325" t="e">
        <f>+E5+E6+E7+E8</f>
        <v>#REF!</v>
      </c>
      <c r="F4" s="325" t="e">
        <f>+F5+F6+F7+F8</f>
        <v>#REF!</v>
      </c>
      <c r="G4" s="325" t="e">
        <f>G5+G6+G7+G8</f>
        <v>#REF!</v>
      </c>
      <c r="H4" s="325" t="e">
        <f>H5+H6+H7+H8</f>
        <v>#REF!</v>
      </c>
      <c r="I4" s="325" t="e">
        <f>I5+I6+I7+I8</f>
        <v>#REF!</v>
      </c>
      <c r="J4" s="325" t="e">
        <f>J5+J6+J7+J8</f>
        <v>#REF!</v>
      </c>
      <c r="K4" s="325" t="e">
        <f>K5+K6+K7+K8</f>
        <v>#REF!</v>
      </c>
      <c r="L4" s="326">
        <v>3087682</v>
      </c>
      <c r="N4" s="326">
        <f>SUM(N8,N7,N6,N5+175721.25)</f>
        <v>255991.25</v>
      </c>
      <c r="O4" s="326">
        <f aca="true" t="shared" si="1" ref="O4:Y4">SUM(O8,O7,O6,O5+175721.25)</f>
        <v>196987.25</v>
      </c>
      <c r="P4" s="326">
        <f t="shared" si="1"/>
        <v>529487.25</v>
      </c>
      <c r="Q4" s="326">
        <f t="shared" si="1"/>
        <v>196987.25</v>
      </c>
      <c r="R4" s="326">
        <f t="shared" si="1"/>
        <v>196988.25</v>
      </c>
      <c r="S4" s="326">
        <f t="shared" si="1"/>
        <v>209487.25</v>
      </c>
      <c r="T4" s="326">
        <f t="shared" si="1"/>
        <v>196988.25</v>
      </c>
      <c r="U4" s="326">
        <f t="shared" si="1"/>
        <v>284287.25</v>
      </c>
      <c r="V4" s="326">
        <f t="shared" si="1"/>
        <v>347325.25</v>
      </c>
      <c r="W4" s="326">
        <f t="shared" si="1"/>
        <v>196987.25</v>
      </c>
      <c r="X4" s="326">
        <f t="shared" si="1"/>
        <v>266678.25</v>
      </c>
      <c r="Y4" s="326">
        <f t="shared" si="1"/>
        <v>209487.25</v>
      </c>
      <c r="Z4" s="326">
        <f>SUM(N4:Y4)</f>
        <v>3087682</v>
      </c>
      <c r="AA4" s="325"/>
    </row>
    <row r="5" spans="1:27" ht="12.75" hidden="1">
      <c r="A5" s="327" t="s">
        <v>466</v>
      </c>
      <c r="D5" s="315" t="e">
        <f>SUM(#REF!)</f>
        <v>#REF!</v>
      </c>
      <c r="E5" s="315" t="e">
        <f>SUM(#REF!)</f>
        <v>#REF!</v>
      </c>
      <c r="F5" s="315" t="e">
        <f>SUM(#REF!)</f>
        <v>#REF!</v>
      </c>
      <c r="G5" s="315" t="e">
        <f>SUM(#REF!)</f>
        <v>#REF!</v>
      </c>
      <c r="H5" s="315" t="e">
        <f>SUM(#REF!)</f>
        <v>#REF!</v>
      </c>
      <c r="I5" s="315" t="e">
        <f>SUM(#REF!)</f>
        <v>#REF!</v>
      </c>
      <c r="J5" s="315" t="e">
        <f>SUM(#REF!)</f>
        <v>#REF!</v>
      </c>
      <c r="K5" s="315" t="e">
        <f>SUM(#REF!)</f>
        <v>#REF!</v>
      </c>
      <c r="L5" s="328">
        <v>64000</v>
      </c>
      <c r="N5" s="328">
        <v>5337</v>
      </c>
      <c r="O5" s="328">
        <v>5333</v>
      </c>
      <c r="P5" s="328">
        <v>5333</v>
      </c>
      <c r="Q5" s="328">
        <v>5333</v>
      </c>
      <c r="R5" s="328">
        <v>5333</v>
      </c>
      <c r="S5" s="328">
        <v>5333</v>
      </c>
      <c r="T5" s="328">
        <v>5333</v>
      </c>
      <c r="U5" s="328">
        <v>5333</v>
      </c>
      <c r="V5" s="328">
        <v>5333</v>
      </c>
      <c r="W5" s="328">
        <v>5333</v>
      </c>
      <c r="X5" s="328">
        <v>5333</v>
      </c>
      <c r="Y5" s="328">
        <v>5333</v>
      </c>
      <c r="Z5" s="326">
        <f aca="true" t="shared" si="2" ref="Z5:Z38">SUM(N5:Y5)</f>
        <v>64000</v>
      </c>
      <c r="AA5" s="325"/>
    </row>
    <row r="6" spans="1:27" ht="12.75" hidden="1">
      <c r="A6" s="314" t="s">
        <v>467</v>
      </c>
      <c r="D6" s="315" t="e">
        <f>SUM(#REF!)</f>
        <v>#REF!</v>
      </c>
      <c r="E6" s="315" t="e">
        <f>SUM(#REF!)</f>
        <v>#REF!</v>
      </c>
      <c r="F6" s="315" t="e">
        <f>SUM(#REF!)</f>
        <v>#REF!</v>
      </c>
      <c r="G6" s="315" t="e">
        <f>SUM(#REF!)</f>
        <v>#REF!</v>
      </c>
      <c r="H6" s="315" t="e">
        <f>SUM(#REF!)</f>
        <v>#REF!</v>
      </c>
      <c r="I6" s="315" t="e">
        <f>SUM(#REF!)</f>
        <v>#REF!</v>
      </c>
      <c r="J6" s="315" t="e">
        <f>SUM(#REF!)</f>
        <v>#REF!</v>
      </c>
      <c r="K6" s="315" t="e">
        <f>SUM(#REF!)</f>
        <v>#REF!</v>
      </c>
      <c r="L6" s="328">
        <v>191198</v>
      </c>
      <c r="N6" s="328">
        <v>15933</v>
      </c>
      <c r="O6" s="328">
        <v>15933</v>
      </c>
      <c r="P6" s="328">
        <v>15933</v>
      </c>
      <c r="Q6" s="328">
        <v>15933</v>
      </c>
      <c r="R6" s="328">
        <v>15934</v>
      </c>
      <c r="S6" s="328">
        <v>15933</v>
      </c>
      <c r="T6" s="328">
        <v>15934</v>
      </c>
      <c r="U6" s="328">
        <v>15933</v>
      </c>
      <c r="V6" s="328">
        <v>15933</v>
      </c>
      <c r="W6" s="328">
        <v>15933</v>
      </c>
      <c r="X6" s="328">
        <v>15933</v>
      </c>
      <c r="Y6" s="328">
        <v>15933</v>
      </c>
      <c r="Z6" s="326">
        <f t="shared" si="2"/>
        <v>191198</v>
      </c>
      <c r="AA6" s="325"/>
    </row>
    <row r="7" spans="1:27" ht="12.75" hidden="1">
      <c r="A7" s="314" t="s">
        <v>468</v>
      </c>
      <c r="D7" s="315" t="e">
        <f>+#REF!</f>
        <v>#REF!</v>
      </c>
      <c r="E7" s="315" t="e">
        <f>+#REF!</f>
        <v>#REF!</v>
      </c>
      <c r="F7" s="315" t="e">
        <f>+#REF!</f>
        <v>#REF!</v>
      </c>
      <c r="G7" s="315" t="e">
        <f>SUM(#REF!)</f>
        <v>#REF!</v>
      </c>
      <c r="H7" s="315" t="e">
        <f>SUM(#REF!)</f>
        <v>#REF!</v>
      </c>
      <c r="I7" s="315" t="e">
        <f>SUM(#REF!)</f>
        <v>#REF!</v>
      </c>
      <c r="J7" s="315" t="e">
        <f>SUM(#REF!)</f>
        <v>#REF!</v>
      </c>
      <c r="K7" s="315" t="e">
        <f>SUM(#REF!)</f>
        <v>#REF!</v>
      </c>
      <c r="L7" s="328">
        <v>50000</v>
      </c>
      <c r="N7" s="328">
        <v>0</v>
      </c>
      <c r="O7" s="328">
        <v>0</v>
      </c>
      <c r="P7" s="328">
        <f>L7/4</f>
        <v>12500</v>
      </c>
      <c r="Q7" s="328">
        <v>0</v>
      </c>
      <c r="R7" s="328">
        <v>0</v>
      </c>
      <c r="S7" s="328">
        <v>12500</v>
      </c>
      <c r="T7" s="328">
        <v>0</v>
      </c>
      <c r="U7" s="328">
        <v>0</v>
      </c>
      <c r="V7" s="328">
        <v>12500</v>
      </c>
      <c r="W7" s="328">
        <v>0</v>
      </c>
      <c r="X7" s="328">
        <v>0</v>
      </c>
      <c r="Y7" s="328">
        <v>12500</v>
      </c>
      <c r="Z7" s="326">
        <f t="shared" si="2"/>
        <v>50000</v>
      </c>
      <c r="AA7" s="325"/>
    </row>
    <row r="8" spans="1:27" ht="12.75" hidden="1">
      <c r="A8" s="314" t="s">
        <v>469</v>
      </c>
      <c r="D8" s="315" t="e">
        <f>SUM(#REF!)</f>
        <v>#REF!</v>
      </c>
      <c r="E8" s="315" t="e">
        <f>SUM(#REF!)</f>
        <v>#REF!</v>
      </c>
      <c r="F8" s="315" t="e">
        <f>SUM(#REF!)</f>
        <v>#REF!</v>
      </c>
      <c r="G8" s="315" t="e">
        <f>+#REF!+#REF!+#REF!+#REF!</f>
        <v>#N/A</v>
      </c>
      <c r="H8" s="315" t="e">
        <f>+#REF!+#REF!+#REF!+#REF!</f>
        <v>#N/A</v>
      </c>
      <c r="I8" s="315" t="e">
        <f>+#REF!+#REF!+#REF!+#REF!</f>
        <v>#N/A</v>
      </c>
      <c r="J8" s="315" t="e">
        <f>+#REF!+#REF!+#REF!+#REF!</f>
        <v>#N/A</v>
      </c>
      <c r="K8" s="315" t="e">
        <f>+#REF!+#REF!+#REF!+#REF!</f>
        <v>#N/A</v>
      </c>
      <c r="L8" s="328">
        <v>673829</v>
      </c>
      <c r="N8" s="328">
        <v>59000</v>
      </c>
      <c r="O8" s="328">
        <v>0</v>
      </c>
      <c r="P8" s="328">
        <v>320000</v>
      </c>
      <c r="Q8" s="328">
        <v>0</v>
      </c>
      <c r="R8" s="328">
        <v>0</v>
      </c>
      <c r="S8" s="328">
        <v>0</v>
      </c>
      <c r="T8" s="328">
        <v>0</v>
      </c>
      <c r="U8" s="328">
        <v>87300</v>
      </c>
      <c r="V8" s="328">
        <v>137838</v>
      </c>
      <c r="W8" s="328">
        <v>0</v>
      </c>
      <c r="X8" s="328">
        <v>69691</v>
      </c>
      <c r="Y8" s="328"/>
      <c r="Z8" s="326">
        <f t="shared" si="2"/>
        <v>673829</v>
      </c>
      <c r="AA8" s="325"/>
    </row>
    <row r="9" spans="1:27" s="324" customFormat="1" ht="15" customHeight="1">
      <c r="A9" s="323" t="s">
        <v>470</v>
      </c>
      <c r="D9" s="325" t="e">
        <f>+D10+D11+D12+D13</f>
        <v>#REF!</v>
      </c>
      <c r="E9" s="325" t="e">
        <f>+E10+E11+E12+E13</f>
        <v>#REF!</v>
      </c>
      <c r="F9" s="325" t="e">
        <f>+F10+F11+F12+F13</f>
        <v>#REF!</v>
      </c>
      <c r="G9" s="325" t="e">
        <f>G10+G11+G12+G13</f>
        <v>#REF!</v>
      </c>
      <c r="H9" s="325" t="e">
        <f>H10+H11+H12+H13</f>
        <v>#REF!</v>
      </c>
      <c r="I9" s="325" t="e">
        <f>I10+I11+I12+I13</f>
        <v>#REF!</v>
      </c>
      <c r="J9" s="325" t="e">
        <f>J10+J11+J12+J13</f>
        <v>#REF!</v>
      </c>
      <c r="K9" s="325" t="e">
        <f>K10+K11+K12+K13</f>
        <v>#REF!</v>
      </c>
      <c r="L9" s="326">
        <v>9894814</v>
      </c>
      <c r="N9" s="326">
        <f aca="true" t="shared" si="3" ref="N9:Y9">SUM(N10,N11,N12,N13)</f>
        <v>426317</v>
      </c>
      <c r="O9" s="326">
        <f t="shared" si="3"/>
        <v>346320</v>
      </c>
      <c r="P9" s="326">
        <f t="shared" si="3"/>
        <v>2406317</v>
      </c>
      <c r="Q9" s="326">
        <f t="shared" si="3"/>
        <v>356320</v>
      </c>
      <c r="R9" s="326">
        <f t="shared" si="3"/>
        <v>326317</v>
      </c>
      <c r="S9" s="326">
        <f t="shared" si="3"/>
        <v>336317</v>
      </c>
      <c r="T9" s="326">
        <f t="shared" si="3"/>
        <v>336317</v>
      </c>
      <c r="U9" s="326">
        <f t="shared" si="3"/>
        <v>374317</v>
      </c>
      <c r="V9" s="326">
        <f t="shared" si="3"/>
        <v>3356317</v>
      </c>
      <c r="W9" s="326">
        <f t="shared" si="3"/>
        <v>368317</v>
      </c>
      <c r="X9" s="326">
        <f t="shared" si="3"/>
        <v>355318</v>
      </c>
      <c r="Y9" s="326">
        <f t="shared" si="3"/>
        <v>906320</v>
      </c>
      <c r="Z9" s="326">
        <f t="shared" si="2"/>
        <v>9894814</v>
      </c>
      <c r="AA9" s="325"/>
    </row>
    <row r="10" spans="1:27" ht="12.75" hidden="1">
      <c r="A10" s="327" t="s">
        <v>471</v>
      </c>
      <c r="D10" s="315" t="e">
        <f>SUM(#REF!)</f>
        <v>#REF!</v>
      </c>
      <c r="E10" s="315" t="e">
        <f>SUM(#REF!)</f>
        <v>#REF!</v>
      </c>
      <c r="F10" s="315" t="e">
        <f>SUM(#REF!)</f>
        <v>#REF!</v>
      </c>
      <c r="G10" s="315" t="e">
        <f>#REF!</f>
        <v>#REF!</v>
      </c>
      <c r="H10" s="315" t="e">
        <f>#REF!</f>
        <v>#REF!</v>
      </c>
      <c r="I10" s="315" t="e">
        <f>#REF!</f>
        <v>#REF!</v>
      </c>
      <c r="J10" s="315" t="e">
        <f>#REF!</f>
        <v>#REF!</v>
      </c>
      <c r="K10" s="315" t="e">
        <f>#REF!</f>
        <v>#REF!</v>
      </c>
      <c r="L10" s="329">
        <v>900000</v>
      </c>
      <c r="N10" s="328">
        <v>175000</v>
      </c>
      <c r="O10" s="328">
        <v>75000</v>
      </c>
      <c r="P10" s="328">
        <v>65000</v>
      </c>
      <c r="Q10" s="328">
        <v>65000</v>
      </c>
      <c r="R10" s="328">
        <v>65000</v>
      </c>
      <c r="S10" s="328">
        <v>65000</v>
      </c>
      <c r="T10" s="328">
        <v>65000</v>
      </c>
      <c r="U10" s="328">
        <v>65000</v>
      </c>
      <c r="V10" s="328">
        <v>65000</v>
      </c>
      <c r="W10" s="328">
        <v>65000</v>
      </c>
      <c r="X10" s="328">
        <v>65000</v>
      </c>
      <c r="Y10" s="328">
        <v>65000</v>
      </c>
      <c r="Z10" s="326">
        <f>SUM(N10:Y10)</f>
        <v>900000</v>
      </c>
      <c r="AA10" s="325"/>
    </row>
    <row r="11" spans="1:27" ht="12.75" customHeight="1" hidden="1">
      <c r="A11" s="314" t="s">
        <v>472</v>
      </c>
      <c r="D11" s="315" t="e">
        <f>SUM(#REF!)</f>
        <v>#REF!</v>
      </c>
      <c r="E11" s="315" t="e">
        <f>SUM(#REF!)</f>
        <v>#REF!</v>
      </c>
      <c r="F11" s="315" t="e">
        <f>SUM(#REF!)</f>
        <v>#REF!</v>
      </c>
      <c r="G11" s="315" t="e">
        <f>SUM(#REF!)</f>
        <v>#REF!</v>
      </c>
      <c r="H11" s="315" t="e">
        <f>SUM(#REF!)</f>
        <v>#REF!</v>
      </c>
      <c r="I11" s="315" t="e">
        <f>SUM(#REF!)</f>
        <v>#REF!</v>
      </c>
      <c r="J11" s="315" t="e">
        <f>SUM(#REF!)</f>
        <v>#REF!</v>
      </c>
      <c r="K11" s="315" t="e">
        <f>SUM(#REF!)</f>
        <v>#REF!</v>
      </c>
      <c r="L11" s="329">
        <v>6099000</v>
      </c>
      <c r="N11" s="328">
        <v>10000</v>
      </c>
      <c r="O11" s="328">
        <v>30000</v>
      </c>
      <c r="P11" s="328">
        <v>2100000</v>
      </c>
      <c r="Q11" s="328">
        <v>50000</v>
      </c>
      <c r="R11" s="328">
        <v>20000</v>
      </c>
      <c r="S11" s="328">
        <v>30000</v>
      </c>
      <c r="T11" s="328">
        <v>30000</v>
      </c>
      <c r="U11" s="328">
        <v>80000</v>
      </c>
      <c r="V11" s="328">
        <v>3050000</v>
      </c>
      <c r="W11" s="328">
        <v>50000</v>
      </c>
      <c r="X11" s="328">
        <v>49000</v>
      </c>
      <c r="Y11" s="328">
        <v>600000</v>
      </c>
      <c r="Z11" s="326">
        <f t="shared" si="2"/>
        <v>6099000</v>
      </c>
      <c r="AA11" s="325"/>
    </row>
    <row r="12" spans="1:27" ht="12.75" hidden="1">
      <c r="A12" s="314" t="s">
        <v>473</v>
      </c>
      <c r="D12" s="315" t="e">
        <f>SUM(#REF!)+#REF!</f>
        <v>#REF!</v>
      </c>
      <c r="E12" s="315" t="e">
        <f>SUM(#REF!)+#REF!</f>
        <v>#REF!</v>
      </c>
      <c r="F12" s="315" t="e">
        <f>SUM(#REF!)+#REF!</f>
        <v>#REF!</v>
      </c>
      <c r="G12" s="315" t="e">
        <f>#REF!+#REF!+#REF!+#REF!</f>
        <v>#N/A</v>
      </c>
      <c r="H12" s="315" t="e">
        <f>#REF!+#REF!+#REF!+#REF!</f>
        <v>#N/A</v>
      </c>
      <c r="I12" s="315" t="e">
        <f>#REF!+#REF!+#REF!+#REF!</f>
        <v>#N/A</v>
      </c>
      <c r="J12" s="315" t="e">
        <f>#REF!+#REF!+#REF!+#REF!</f>
        <v>#N/A</v>
      </c>
      <c r="K12" s="315" t="e">
        <f>#REF!+#REF!+#REF!+#REF!</f>
        <v>#N/A</v>
      </c>
      <c r="L12" s="329">
        <v>2756814</v>
      </c>
      <c r="N12" s="328">
        <v>228734</v>
      </c>
      <c r="O12" s="328">
        <v>228737</v>
      </c>
      <c r="P12" s="328">
        <v>228734</v>
      </c>
      <c r="Q12" s="328">
        <v>228734</v>
      </c>
      <c r="R12" s="328">
        <v>228734</v>
      </c>
      <c r="S12" s="328">
        <v>228734</v>
      </c>
      <c r="T12" s="328">
        <v>228734</v>
      </c>
      <c r="U12" s="328">
        <v>228734</v>
      </c>
      <c r="V12" s="328">
        <v>228734</v>
      </c>
      <c r="W12" s="328">
        <v>240734</v>
      </c>
      <c r="X12" s="328">
        <v>228734</v>
      </c>
      <c r="Y12" s="328">
        <v>228737</v>
      </c>
      <c r="Z12" s="326">
        <f t="shared" si="2"/>
        <v>2756814</v>
      </c>
      <c r="AA12" s="325"/>
    </row>
    <row r="13" spans="1:27" ht="12.75" hidden="1">
      <c r="A13" s="314" t="s">
        <v>474</v>
      </c>
      <c r="D13" s="315" t="e">
        <f>SUM(#REF!)</f>
        <v>#REF!</v>
      </c>
      <c r="E13" s="315" t="e">
        <f>SUM(#REF!)</f>
        <v>#REF!</v>
      </c>
      <c r="F13" s="315" t="e">
        <f>SUM(#REF!)</f>
        <v>#REF!</v>
      </c>
      <c r="G13" s="315" t="e">
        <f>SUM(#REF!)</f>
        <v>#REF!</v>
      </c>
      <c r="H13" s="315" t="e">
        <f>SUM(#REF!)</f>
        <v>#REF!</v>
      </c>
      <c r="I13" s="315" t="e">
        <f>SUM(#REF!)</f>
        <v>#REF!</v>
      </c>
      <c r="J13" s="315" t="e">
        <f>SUM(#REF!)</f>
        <v>#REF!</v>
      </c>
      <c r="K13" s="315" t="e">
        <f>SUM(#REF!)</f>
        <v>#REF!</v>
      </c>
      <c r="L13" s="329">
        <v>139000</v>
      </c>
      <c r="N13" s="328">
        <v>12583</v>
      </c>
      <c r="O13" s="328">
        <v>12583</v>
      </c>
      <c r="P13" s="328">
        <v>12583</v>
      </c>
      <c r="Q13" s="328">
        <v>12586</v>
      </c>
      <c r="R13" s="328">
        <v>12583</v>
      </c>
      <c r="S13" s="328">
        <v>12583</v>
      </c>
      <c r="T13" s="328">
        <v>12583</v>
      </c>
      <c r="U13" s="328">
        <v>583</v>
      </c>
      <c r="V13" s="328">
        <v>12583</v>
      </c>
      <c r="W13" s="328">
        <v>12583</v>
      </c>
      <c r="X13" s="328">
        <v>12584</v>
      </c>
      <c r="Y13" s="328">
        <v>12583</v>
      </c>
      <c r="Z13" s="326">
        <f t="shared" si="2"/>
        <v>139000</v>
      </c>
      <c r="AA13" s="325"/>
    </row>
    <row r="14" spans="1:27" s="324" customFormat="1" ht="17.25" customHeight="1">
      <c r="A14" s="323" t="s">
        <v>475</v>
      </c>
      <c r="D14" s="325" t="e">
        <f>+D15+D16+D17</f>
        <v>#REF!</v>
      </c>
      <c r="E14" s="325" t="e">
        <f>+E15+E16+E17</f>
        <v>#REF!</v>
      </c>
      <c r="F14" s="325" t="e">
        <f>+F15+F16+F17</f>
        <v>#REF!</v>
      </c>
      <c r="G14" s="325" t="e">
        <f>G15+G16+G17</f>
        <v>#REF!</v>
      </c>
      <c r="H14" s="325" t="e">
        <f>H15+H16+H17</f>
        <v>#REF!</v>
      </c>
      <c r="I14" s="325" t="e">
        <f>I15+I16+I17</f>
        <v>#REF!</v>
      </c>
      <c r="J14" s="325" t="e">
        <f>J15+J16+J17</f>
        <v>#REF!</v>
      </c>
      <c r="K14" s="325" t="e">
        <f>K15+K16+K17</f>
        <v>#REF!</v>
      </c>
      <c r="L14" s="326">
        <f>SUM(L15,L16,L17)</f>
        <v>1292200</v>
      </c>
      <c r="N14" s="326">
        <f>SUM(N17,N16,N15)</f>
        <v>5000</v>
      </c>
      <c r="O14" s="326">
        <f aca="true" t="shared" si="4" ref="O14:Y14">SUM(O17,O16,O15)</f>
        <v>5000</v>
      </c>
      <c r="P14" s="326">
        <f t="shared" si="4"/>
        <v>5000</v>
      </c>
      <c r="Q14" s="326">
        <f t="shared" si="4"/>
        <v>136500</v>
      </c>
      <c r="R14" s="326">
        <f t="shared" si="4"/>
        <v>60500</v>
      </c>
      <c r="S14" s="326">
        <f t="shared" si="4"/>
        <v>90000</v>
      </c>
      <c r="T14" s="326">
        <f t="shared" si="4"/>
        <v>86500</v>
      </c>
      <c r="U14" s="326">
        <f t="shared" si="4"/>
        <v>696000</v>
      </c>
      <c r="V14" s="326">
        <f t="shared" si="4"/>
        <v>125000</v>
      </c>
      <c r="W14" s="326">
        <f t="shared" si="4"/>
        <v>65000</v>
      </c>
      <c r="X14" s="326">
        <f t="shared" si="4"/>
        <v>8700</v>
      </c>
      <c r="Y14" s="326">
        <f t="shared" si="4"/>
        <v>9000</v>
      </c>
      <c r="Z14" s="326">
        <f t="shared" si="2"/>
        <v>1292200</v>
      </c>
      <c r="AA14" s="325"/>
    </row>
    <row r="15" spans="1:27" ht="12.75" hidden="1">
      <c r="A15" s="314" t="s">
        <v>476</v>
      </c>
      <c r="D15" s="315" t="e">
        <f>SUM(#REF!)+#REF!</f>
        <v>#REF!</v>
      </c>
      <c r="E15" s="315" t="e">
        <f>SUM(#REF!)+#REF!</f>
        <v>#REF!</v>
      </c>
      <c r="F15" s="315" t="e">
        <f>SUM(#REF!)+#REF!</f>
        <v>#REF!</v>
      </c>
      <c r="G15" s="330" t="e">
        <f>#REF!+#REF!+#REF!+#REF!</f>
        <v>#N/A</v>
      </c>
      <c r="H15" s="330" t="e">
        <f>#REF!+#REF!+#REF!+#REF!</f>
        <v>#N/A</v>
      </c>
      <c r="I15" s="330" t="e">
        <f>#REF!+#REF!+#REF!+#REF!</f>
        <v>#N/A</v>
      </c>
      <c r="J15" s="330" t="e">
        <f>#REF!+#REF!+#REF!+#REF!</f>
        <v>#N/A</v>
      </c>
      <c r="K15" s="330" t="e">
        <f>#REF!+#REF!+#REF!+#REF!</f>
        <v>#N/A</v>
      </c>
      <c r="L15" s="328">
        <v>732200</v>
      </c>
      <c r="N15" s="328">
        <v>0</v>
      </c>
      <c r="O15" s="328">
        <v>0</v>
      </c>
      <c r="P15" s="328">
        <v>0</v>
      </c>
      <c r="Q15" s="328">
        <v>13000</v>
      </c>
      <c r="R15" s="328">
        <v>500</v>
      </c>
      <c r="S15" s="328">
        <v>10000</v>
      </c>
      <c r="T15" s="328">
        <v>3000</v>
      </c>
      <c r="U15" s="328">
        <v>658000</v>
      </c>
      <c r="V15" s="328">
        <v>25000</v>
      </c>
      <c r="W15" s="328">
        <v>15000</v>
      </c>
      <c r="X15" s="328">
        <v>3700</v>
      </c>
      <c r="Y15" s="328">
        <v>4000</v>
      </c>
      <c r="Z15" s="326">
        <f t="shared" si="2"/>
        <v>732200</v>
      </c>
      <c r="AA15" s="325"/>
    </row>
    <row r="16" spans="1:27" ht="12.75" hidden="1">
      <c r="A16" s="314" t="s">
        <v>477</v>
      </c>
      <c r="D16" s="315" t="e">
        <f>SUM(#REF!)</f>
        <v>#REF!</v>
      </c>
      <c r="E16" s="315" t="e">
        <f>SUM(#REF!)</f>
        <v>#REF!</v>
      </c>
      <c r="F16" s="315" t="e">
        <f>SUM(#REF!)</f>
        <v>#REF!</v>
      </c>
      <c r="G16" s="315" t="e">
        <f>SUM(#REF!)</f>
        <v>#REF!</v>
      </c>
      <c r="H16" s="315" t="e">
        <f>SUM(#REF!)</f>
        <v>#REF!</v>
      </c>
      <c r="I16" s="315" t="e">
        <f>SUM(#REF!)</f>
        <v>#REF!</v>
      </c>
      <c r="J16" s="315" t="e">
        <f>SUM(#REF!)</f>
        <v>#REF!</v>
      </c>
      <c r="K16" s="315" t="e">
        <f>SUM(#REF!)</f>
        <v>#REF!</v>
      </c>
      <c r="L16" s="328">
        <v>478000</v>
      </c>
      <c r="N16" s="328">
        <v>5000</v>
      </c>
      <c r="O16" s="328">
        <v>5000</v>
      </c>
      <c r="P16" s="328">
        <v>5000</v>
      </c>
      <c r="Q16" s="328">
        <v>120000</v>
      </c>
      <c r="R16" s="328">
        <v>60000</v>
      </c>
      <c r="S16" s="328">
        <v>80000</v>
      </c>
      <c r="T16" s="328">
        <v>5000</v>
      </c>
      <c r="U16" s="328">
        <v>38000</v>
      </c>
      <c r="V16" s="328">
        <v>100000</v>
      </c>
      <c r="W16" s="328">
        <v>50000</v>
      </c>
      <c r="X16" s="328">
        <v>5000</v>
      </c>
      <c r="Y16" s="328">
        <v>5000</v>
      </c>
      <c r="Z16" s="326">
        <f t="shared" si="2"/>
        <v>478000</v>
      </c>
      <c r="AA16" s="325"/>
    </row>
    <row r="17" spans="1:27" ht="12.75" hidden="1">
      <c r="A17" s="314" t="s">
        <v>478</v>
      </c>
      <c r="D17" s="315" t="e">
        <f>SUM(#REF!)</f>
        <v>#REF!</v>
      </c>
      <c r="E17" s="315" t="e">
        <f>SUM(#REF!)</f>
        <v>#REF!</v>
      </c>
      <c r="F17" s="315" t="e">
        <f>SUM(#REF!)</f>
        <v>#REF!</v>
      </c>
      <c r="G17" s="315" t="e">
        <f>SUM(#REF!)</f>
        <v>#REF!</v>
      </c>
      <c r="H17" s="315" t="e">
        <f>SUM(#REF!)</f>
        <v>#REF!</v>
      </c>
      <c r="I17" s="315" t="e">
        <f>SUM(#REF!)</f>
        <v>#REF!</v>
      </c>
      <c r="J17" s="315" t="e">
        <f>SUM(#REF!)</f>
        <v>#REF!</v>
      </c>
      <c r="K17" s="315" t="e">
        <f>SUM(#REF!)</f>
        <v>#REF!</v>
      </c>
      <c r="L17" s="328">
        <v>82000</v>
      </c>
      <c r="N17" s="328">
        <v>0</v>
      </c>
      <c r="O17" s="328">
        <v>0</v>
      </c>
      <c r="P17" s="328">
        <v>0</v>
      </c>
      <c r="Q17" s="328">
        <v>3500</v>
      </c>
      <c r="R17" s="328">
        <v>0</v>
      </c>
      <c r="S17" s="328">
        <v>0</v>
      </c>
      <c r="T17" s="328">
        <v>78500</v>
      </c>
      <c r="U17" s="328">
        <v>0</v>
      </c>
      <c r="V17" s="328">
        <v>0</v>
      </c>
      <c r="W17" s="328">
        <v>0</v>
      </c>
      <c r="X17" s="328"/>
      <c r="Y17" s="328"/>
      <c r="Z17" s="326">
        <f t="shared" si="2"/>
        <v>82000</v>
      </c>
      <c r="AA17" s="325"/>
    </row>
    <row r="18" spans="1:27" s="324" customFormat="1" ht="17.25" customHeight="1">
      <c r="A18" s="323" t="s">
        <v>479</v>
      </c>
      <c r="D18" s="325" t="e">
        <f>+D19+D20</f>
        <v>#REF!</v>
      </c>
      <c r="E18" s="325" t="e">
        <f>+E19+E20</f>
        <v>#REF!</v>
      </c>
      <c r="F18" s="325" t="e">
        <f>+F19+F20</f>
        <v>#REF!</v>
      </c>
      <c r="G18" s="325" t="e">
        <f>G19+G20</f>
        <v>#REF!</v>
      </c>
      <c r="H18" s="325" t="e">
        <f>H19+H20</f>
        <v>#REF!</v>
      </c>
      <c r="I18" s="325" t="e">
        <f>I19+I20</f>
        <v>#REF!</v>
      </c>
      <c r="J18" s="325" t="e">
        <f>J19+J20</f>
        <v>#REF!</v>
      </c>
      <c r="K18" s="325" t="e">
        <f>K19+K20</f>
        <v>#REF!</v>
      </c>
      <c r="L18" s="326">
        <f>SUM(L20,L19)</f>
        <v>6950364</v>
      </c>
      <c r="N18" s="326">
        <f>SUM(N20,N19)</f>
        <v>137000</v>
      </c>
      <c r="O18" s="326">
        <f aca="true" t="shared" si="5" ref="O18:Y18">SUM(O20,O19)</f>
        <v>212549</v>
      </c>
      <c r="P18" s="326">
        <f>SUM(P20,P19)</f>
        <v>197886</v>
      </c>
      <c r="Q18" s="326">
        <f t="shared" si="5"/>
        <v>274342</v>
      </c>
      <c r="R18" s="326">
        <f t="shared" si="5"/>
        <v>1157000</v>
      </c>
      <c r="S18" s="326">
        <f t="shared" si="5"/>
        <v>317675</v>
      </c>
      <c r="T18" s="326">
        <f t="shared" si="5"/>
        <v>257000</v>
      </c>
      <c r="U18" s="326">
        <v>762315</v>
      </c>
      <c r="V18" s="326">
        <f t="shared" si="5"/>
        <v>2096057</v>
      </c>
      <c r="W18" s="326">
        <f t="shared" si="5"/>
        <v>1169812</v>
      </c>
      <c r="X18" s="326">
        <f t="shared" si="5"/>
        <v>207000</v>
      </c>
      <c r="Y18" s="326">
        <f t="shared" si="5"/>
        <v>161728</v>
      </c>
      <c r="Z18" s="326">
        <f t="shared" si="2"/>
        <v>6950364</v>
      </c>
      <c r="AA18" s="325"/>
    </row>
    <row r="19" spans="1:27" ht="12.75" hidden="1">
      <c r="A19" s="314" t="s">
        <v>480</v>
      </c>
      <c r="D19" s="315" t="e">
        <f>SUM(#REF!)</f>
        <v>#REF!</v>
      </c>
      <c r="E19" s="315" t="e">
        <f>SUM(#REF!)</f>
        <v>#REF!</v>
      </c>
      <c r="F19" s="315" t="e">
        <f>SUM(#REF!)</f>
        <v>#REF!</v>
      </c>
      <c r="G19" s="315" t="e">
        <f>SUM(#REF!)</f>
        <v>#REF!</v>
      </c>
      <c r="H19" s="315" t="e">
        <f>SUM(#REF!)</f>
        <v>#REF!</v>
      </c>
      <c r="I19" s="315" t="e">
        <f>SUM(#REF!)</f>
        <v>#REF!</v>
      </c>
      <c r="J19" s="315" t="e">
        <f>SUM(#REF!)</f>
        <v>#REF!</v>
      </c>
      <c r="K19" s="315" t="e">
        <f>SUM(#REF!)</f>
        <v>#REF!</v>
      </c>
      <c r="L19" s="328">
        <f>1776777+16489</f>
        <v>1793266</v>
      </c>
      <c r="N19" s="328">
        <v>107000</v>
      </c>
      <c r="O19" s="328">
        <v>107675</v>
      </c>
      <c r="P19" s="328">
        <f>16489+107000</f>
        <v>123489</v>
      </c>
      <c r="Q19" s="328">
        <v>107675</v>
      </c>
      <c r="R19" s="328">
        <v>107000</v>
      </c>
      <c r="S19" s="328">
        <v>107675</v>
      </c>
      <c r="T19" s="328">
        <v>107000</v>
      </c>
      <c r="U19" s="328">
        <v>107675</v>
      </c>
      <c r="V19" s="328">
        <v>146057</v>
      </c>
      <c r="W19" s="328">
        <v>107675</v>
      </c>
      <c r="X19" s="328">
        <v>107000</v>
      </c>
      <c r="Y19" s="328">
        <v>111728</v>
      </c>
      <c r="Z19" s="326">
        <f t="shared" si="2"/>
        <v>1347649</v>
      </c>
      <c r="AA19" s="325"/>
    </row>
    <row r="20" spans="1:27" ht="12.75" hidden="1">
      <c r="A20" s="314" t="s">
        <v>481</v>
      </c>
      <c r="D20" s="315" t="e">
        <f>SUM(#REF!)</f>
        <v>#REF!</v>
      </c>
      <c r="E20" s="315" t="e">
        <f>SUM(#REF!)</f>
        <v>#REF!</v>
      </c>
      <c r="F20" s="315" t="e">
        <f>SUM(#REF!)</f>
        <v>#REF!</v>
      </c>
      <c r="G20" s="315" t="e">
        <f>SUM(#REF!)</f>
        <v>#REF!</v>
      </c>
      <c r="H20" s="315" t="e">
        <f>SUM(#REF!)</f>
        <v>#REF!</v>
      </c>
      <c r="I20" s="315" t="e">
        <f>SUM(#REF!)</f>
        <v>#REF!</v>
      </c>
      <c r="J20" s="315" t="e">
        <f>SUM(#REF!)</f>
        <v>#REF!</v>
      </c>
      <c r="K20" s="315" t="e">
        <f>SUM(#REF!)</f>
        <v>#REF!</v>
      </c>
      <c r="L20" s="328">
        <v>5157098</v>
      </c>
      <c r="N20" s="328">
        <v>30000</v>
      </c>
      <c r="O20" s="328">
        <v>104874</v>
      </c>
      <c r="P20" s="328">
        <v>74397</v>
      </c>
      <c r="Q20" s="328">
        <v>166667</v>
      </c>
      <c r="R20" s="328">
        <v>1050000</v>
      </c>
      <c r="S20" s="328">
        <v>210000</v>
      </c>
      <c r="T20" s="328">
        <v>150000</v>
      </c>
      <c r="U20" s="328">
        <v>330690</v>
      </c>
      <c r="V20" s="328">
        <v>1950000</v>
      </c>
      <c r="W20" s="328">
        <v>1062137</v>
      </c>
      <c r="X20" s="328">
        <v>100000</v>
      </c>
      <c r="Y20" s="328">
        <v>50000</v>
      </c>
      <c r="Z20" s="326">
        <f t="shared" si="2"/>
        <v>5278765</v>
      </c>
      <c r="AA20" s="325"/>
    </row>
    <row r="21" spans="1:27" s="324" customFormat="1" ht="17.25" customHeight="1">
      <c r="A21" s="323" t="s">
        <v>482</v>
      </c>
      <c r="D21" s="325" t="e">
        <f>+D22+D23</f>
        <v>#REF!</v>
      </c>
      <c r="E21" s="325" t="e">
        <f>+E22+E23</f>
        <v>#REF!</v>
      </c>
      <c r="F21" s="325" t="e">
        <f>+F22+F23</f>
        <v>#REF!</v>
      </c>
      <c r="G21" s="325" t="e">
        <f>G22+G23</f>
        <v>#REF!</v>
      </c>
      <c r="H21" s="325" t="e">
        <f>H22+H23</f>
        <v>#REF!</v>
      </c>
      <c r="I21" s="325" t="e">
        <f>I22+I23</f>
        <v>#REF!</v>
      </c>
      <c r="J21" s="325" t="e">
        <f>J22+J23</f>
        <v>#REF!</v>
      </c>
      <c r="K21" s="325" t="e">
        <f>K22+K23</f>
        <v>#REF!</v>
      </c>
      <c r="L21" s="326">
        <f>SUM(L23,L22)</f>
        <v>615494</v>
      </c>
      <c r="N21" s="326">
        <f>SUM(N23,N22)</f>
        <v>0</v>
      </c>
      <c r="O21" s="326">
        <f aca="true" t="shared" si="6" ref="O21:Y21">SUM(O23,O22)</f>
        <v>0</v>
      </c>
      <c r="P21" s="326">
        <f t="shared" si="6"/>
        <v>35000</v>
      </c>
      <c r="Q21" s="326">
        <f t="shared" si="6"/>
        <v>0</v>
      </c>
      <c r="R21" s="326">
        <f t="shared" si="6"/>
        <v>3853</v>
      </c>
      <c r="S21" s="326">
        <f t="shared" si="6"/>
        <v>0</v>
      </c>
      <c r="T21" s="326">
        <v>573710</v>
      </c>
      <c r="U21" s="326">
        <f t="shared" si="6"/>
        <v>0</v>
      </c>
      <c r="V21" s="326">
        <f t="shared" si="6"/>
        <v>2931</v>
      </c>
      <c r="W21" s="326">
        <f t="shared" si="6"/>
        <v>0</v>
      </c>
      <c r="X21" s="326">
        <f t="shared" si="6"/>
        <v>0</v>
      </c>
      <c r="Y21" s="326">
        <f t="shared" si="6"/>
        <v>0</v>
      </c>
      <c r="Z21" s="326">
        <f t="shared" si="2"/>
        <v>615494</v>
      </c>
      <c r="AA21" s="325"/>
    </row>
    <row r="22" spans="1:27" ht="12.75" hidden="1">
      <c r="A22" s="314" t="s">
        <v>483</v>
      </c>
      <c r="D22" s="315" t="e">
        <f>SUM(#REF!)</f>
        <v>#REF!</v>
      </c>
      <c r="E22" s="315" t="e">
        <f>SUM(#REF!)</f>
        <v>#REF!</v>
      </c>
      <c r="F22" s="315" t="e">
        <f>SUM(#REF!)</f>
        <v>#REF!</v>
      </c>
      <c r="G22" s="315" t="e">
        <f>SUM(#REF!)</f>
        <v>#REF!</v>
      </c>
      <c r="H22" s="315" t="e">
        <f>SUM(#REF!)</f>
        <v>#REF!</v>
      </c>
      <c r="I22" s="315" t="e">
        <f>SUM(#REF!)</f>
        <v>#REF!</v>
      </c>
      <c r="J22" s="315" t="e">
        <f>SUM(#REF!)</f>
        <v>#REF!</v>
      </c>
      <c r="K22" s="315" t="e">
        <f>SUM(#REF!)</f>
        <v>#REF!</v>
      </c>
      <c r="L22" s="328">
        <v>20494</v>
      </c>
      <c r="N22" s="328">
        <v>0</v>
      </c>
      <c r="O22" s="328">
        <v>0</v>
      </c>
      <c r="P22" s="328">
        <v>0</v>
      </c>
      <c r="Q22" s="328">
        <v>0</v>
      </c>
      <c r="R22" s="328">
        <v>3853</v>
      </c>
      <c r="S22" s="328">
        <v>0</v>
      </c>
      <c r="T22" s="328">
        <v>666666</v>
      </c>
      <c r="U22" s="328">
        <v>0</v>
      </c>
      <c r="V22" s="328">
        <v>2931</v>
      </c>
      <c r="W22" s="328">
        <v>0</v>
      </c>
      <c r="X22" s="328">
        <v>0</v>
      </c>
      <c r="Y22" s="328">
        <v>0</v>
      </c>
      <c r="Z22" s="326">
        <f t="shared" si="2"/>
        <v>673450</v>
      </c>
      <c r="AA22" s="325"/>
    </row>
    <row r="23" spans="1:27" ht="12.75" hidden="1">
      <c r="A23" s="314" t="s">
        <v>484</v>
      </c>
      <c r="D23" s="315">
        <f>SUM(D25:D25)</f>
        <v>212397</v>
      </c>
      <c r="E23" s="315">
        <f>SUM(E25:E25)</f>
        <v>212397</v>
      </c>
      <c r="F23" s="315">
        <f>SUM(F25:F25)</f>
        <v>217908</v>
      </c>
      <c r="G23" s="315">
        <f>SUM(G24:G25)</f>
        <v>0</v>
      </c>
      <c r="H23" s="315">
        <f>SUM(H24:H25)</f>
        <v>0</v>
      </c>
      <c r="I23" s="315">
        <f>SUM(I24:I25)</f>
        <v>0</v>
      </c>
      <c r="J23" s="315">
        <f>SUM(J24:J25)</f>
        <v>0</v>
      </c>
      <c r="K23" s="315">
        <f>SUM(K24:K25)</f>
        <v>0</v>
      </c>
      <c r="L23" s="328">
        <v>595000</v>
      </c>
      <c r="N23" s="328">
        <v>0</v>
      </c>
      <c r="O23" s="328">
        <v>0</v>
      </c>
      <c r="P23" s="328">
        <v>35000</v>
      </c>
      <c r="Q23" s="328">
        <v>0</v>
      </c>
      <c r="R23" s="328">
        <v>0</v>
      </c>
      <c r="S23" s="328">
        <v>0</v>
      </c>
      <c r="T23" s="328">
        <v>0</v>
      </c>
      <c r="U23" s="328">
        <v>0</v>
      </c>
      <c r="V23" s="328">
        <v>0</v>
      </c>
      <c r="W23" s="328">
        <v>0</v>
      </c>
      <c r="X23" s="328">
        <v>0</v>
      </c>
      <c r="Y23" s="328">
        <v>0</v>
      </c>
      <c r="Z23" s="326">
        <f t="shared" si="2"/>
        <v>35000</v>
      </c>
      <c r="AA23" s="325"/>
    </row>
    <row r="24" spans="2:27" ht="12.75" hidden="1">
      <c r="B24" s="314" t="s">
        <v>485</v>
      </c>
      <c r="E24" s="315">
        <v>0</v>
      </c>
      <c r="L24" s="328">
        <f>SUM(G24:K24)</f>
        <v>0</v>
      </c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8"/>
      <c r="Z24" s="326">
        <f t="shared" si="2"/>
        <v>0</v>
      </c>
      <c r="AA24" s="325"/>
    </row>
    <row r="25" spans="2:27" ht="12.75" hidden="1">
      <c r="B25" s="314" t="s">
        <v>486</v>
      </c>
      <c r="D25" s="315">
        <v>212397</v>
      </c>
      <c r="E25" s="315">
        <v>212397</v>
      </c>
      <c r="F25" s="315">
        <v>217908</v>
      </c>
      <c r="H25" s="331"/>
      <c r="L25" s="328">
        <f>SUM(G25:K25)</f>
        <v>0</v>
      </c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8"/>
      <c r="Z25" s="326">
        <f t="shared" si="2"/>
        <v>0</v>
      </c>
      <c r="AA25" s="325"/>
    </row>
    <row r="26" spans="1:27" s="324" customFormat="1" ht="17.25" customHeight="1">
      <c r="A26" s="323" t="s">
        <v>487</v>
      </c>
      <c r="D26" s="325" t="e">
        <f>+D27+D28+D29+D30+D31</f>
        <v>#REF!</v>
      </c>
      <c r="E26" s="325" t="e">
        <f>+E27+E28+E29+E30+E31</f>
        <v>#REF!</v>
      </c>
      <c r="F26" s="325" t="e">
        <f>+F27+F28+F29+F30+F31</f>
        <v>#REF!</v>
      </c>
      <c r="G26" s="325" t="e">
        <f>G27+G28+G29+G30+G31</f>
        <v>#REF!</v>
      </c>
      <c r="H26" s="325" t="e">
        <f>H27+H28+H29+H30+H31</f>
        <v>#REF!</v>
      </c>
      <c r="I26" s="325" t="e">
        <f>I27+I28+I29+I30+I31</f>
        <v>#REF!</v>
      </c>
      <c r="J26" s="325" t="e">
        <f>J27+J28+J29+J30+J31</f>
        <v>#REF!</v>
      </c>
      <c r="K26" s="325" t="e">
        <f>K27+K28+K29+K30+K31</f>
        <v>#REF!</v>
      </c>
      <c r="L26" s="326">
        <f>SUM(L31,L30,L29,L28,L27)</f>
        <v>8017552</v>
      </c>
      <c r="N26" s="326">
        <f>SUM(N31,N30,N29,N28,N27)</f>
        <v>1168008</v>
      </c>
      <c r="O26" s="326">
        <f aca="true" t="shared" si="7" ref="O26:Y26">SUM(O31,O30,O29,O28,O27)</f>
        <v>568008</v>
      </c>
      <c r="P26" s="326">
        <f t="shared" si="7"/>
        <v>569448</v>
      </c>
      <c r="Q26" s="326">
        <f t="shared" si="7"/>
        <v>568008</v>
      </c>
      <c r="R26" s="326">
        <f t="shared" si="7"/>
        <v>568008</v>
      </c>
      <c r="S26" s="326">
        <f t="shared" si="7"/>
        <v>568008</v>
      </c>
      <c r="T26" s="326">
        <f t="shared" si="7"/>
        <v>668008</v>
      </c>
      <c r="U26" s="326">
        <f t="shared" si="7"/>
        <v>668008</v>
      </c>
      <c r="V26" s="326">
        <f t="shared" si="7"/>
        <v>668008</v>
      </c>
      <c r="W26" s="326">
        <f t="shared" si="7"/>
        <v>668008</v>
      </c>
      <c r="X26" s="326">
        <f t="shared" si="7"/>
        <v>668020</v>
      </c>
      <c r="Y26" s="326">
        <f t="shared" si="7"/>
        <v>668012</v>
      </c>
      <c r="Z26" s="326">
        <f t="shared" si="2"/>
        <v>8017552</v>
      </c>
      <c r="AA26" s="325"/>
    </row>
    <row r="27" spans="1:27" ht="12.75" hidden="1">
      <c r="A27" s="314" t="s">
        <v>488</v>
      </c>
      <c r="D27" s="315" t="e">
        <f>SUM(#REF!)</f>
        <v>#REF!</v>
      </c>
      <c r="E27" s="315" t="e">
        <f>SUM(#REF!)</f>
        <v>#REF!</v>
      </c>
      <c r="F27" s="315" t="e">
        <f>SUM(#REF!)</f>
        <v>#REF!</v>
      </c>
      <c r="G27" s="315" t="e">
        <f>#REF!</f>
        <v>#REF!</v>
      </c>
      <c r="H27" s="315" t="e">
        <f>#REF!</f>
        <v>#REF!</v>
      </c>
      <c r="I27" s="315" t="e">
        <f>#REF!</f>
        <v>#REF!</v>
      </c>
      <c r="J27" s="315" t="e">
        <f>#REF!</f>
        <v>#REF!</v>
      </c>
      <c r="K27" s="315" t="e">
        <f>#REF!</f>
        <v>#REF!</v>
      </c>
      <c r="L27" s="328">
        <v>7119866</v>
      </c>
      <c r="N27" s="328">
        <v>1093322</v>
      </c>
      <c r="O27" s="328">
        <v>493322</v>
      </c>
      <c r="P27" s="328">
        <v>493322</v>
      </c>
      <c r="Q27" s="328">
        <v>493322</v>
      </c>
      <c r="R27" s="328">
        <v>493322</v>
      </c>
      <c r="S27" s="328">
        <v>493322</v>
      </c>
      <c r="T27" s="328">
        <v>593322</v>
      </c>
      <c r="U27" s="328">
        <v>593322</v>
      </c>
      <c r="V27" s="328">
        <v>593322</v>
      </c>
      <c r="W27" s="328">
        <v>593322</v>
      </c>
      <c r="X27" s="328">
        <v>593324</v>
      </c>
      <c r="Y27" s="328">
        <v>593322</v>
      </c>
      <c r="Z27" s="326">
        <f t="shared" si="2"/>
        <v>7119866</v>
      </c>
      <c r="AA27" s="325"/>
    </row>
    <row r="28" spans="1:27" ht="12.75" hidden="1">
      <c r="A28" s="314" t="s">
        <v>489</v>
      </c>
      <c r="D28" s="315" t="e">
        <f>SUM(#REF!)</f>
        <v>#REF!</v>
      </c>
      <c r="E28" s="315" t="e">
        <f>SUM(#REF!)</f>
        <v>#REF!</v>
      </c>
      <c r="F28" s="315" t="e">
        <f>SUM(#REF!)</f>
        <v>#REF!</v>
      </c>
      <c r="G28" s="315" t="e">
        <f>SUM(#REF!)</f>
        <v>#REF!</v>
      </c>
      <c r="H28" s="315" t="e">
        <f>SUM(#REF!)</f>
        <v>#REF!</v>
      </c>
      <c r="I28" s="315" t="e">
        <f>SUM(#REF!)</f>
        <v>#REF!</v>
      </c>
      <c r="J28" s="315" t="e">
        <f>SUM(#REF!)</f>
        <v>#REF!</v>
      </c>
      <c r="K28" s="315" t="e">
        <f>SUM(#REF!)</f>
        <v>#REF!</v>
      </c>
      <c r="L28" s="328">
        <v>591246</v>
      </c>
      <c r="N28" s="328">
        <v>49270</v>
      </c>
      <c r="O28" s="328">
        <v>49270</v>
      </c>
      <c r="P28" s="328">
        <v>49270</v>
      </c>
      <c r="Q28" s="328">
        <v>49270</v>
      </c>
      <c r="R28" s="328">
        <v>49270</v>
      </c>
      <c r="S28" s="328">
        <v>49270</v>
      </c>
      <c r="T28" s="328">
        <v>49270</v>
      </c>
      <c r="U28" s="328">
        <v>49270</v>
      </c>
      <c r="V28" s="328">
        <v>49270</v>
      </c>
      <c r="W28" s="328">
        <v>49270</v>
      </c>
      <c r="X28" s="328">
        <v>49276</v>
      </c>
      <c r="Y28" s="328">
        <v>49270</v>
      </c>
      <c r="Z28" s="326">
        <f t="shared" si="2"/>
        <v>591246</v>
      </c>
      <c r="AA28" s="325"/>
    </row>
    <row r="29" spans="1:27" ht="12.75" hidden="1">
      <c r="A29" s="314" t="s">
        <v>490</v>
      </c>
      <c r="D29" s="315" t="e">
        <f>SUM(#REF!)</f>
        <v>#REF!</v>
      </c>
      <c r="E29" s="315" t="e">
        <f>SUM(#REF!)</f>
        <v>#REF!</v>
      </c>
      <c r="G29" s="315" t="e">
        <f>SUM(#REF!)</f>
        <v>#REF!</v>
      </c>
      <c r="H29" s="315" t="e">
        <f>SUM(#REF!)</f>
        <v>#REF!</v>
      </c>
      <c r="I29" s="315" t="e">
        <f>SUM(#REF!)</f>
        <v>#REF!</v>
      </c>
      <c r="J29" s="315" t="e">
        <f>SUM(#REF!)</f>
        <v>#REF!</v>
      </c>
      <c r="K29" s="315" t="e">
        <f>SUM(#REF!)</f>
        <v>#REF!</v>
      </c>
      <c r="L29" s="328">
        <v>1440</v>
      </c>
      <c r="N29" s="328">
        <v>0</v>
      </c>
      <c r="O29" s="328">
        <v>0</v>
      </c>
      <c r="P29" s="328">
        <v>1440</v>
      </c>
      <c r="Q29" s="328">
        <v>0</v>
      </c>
      <c r="R29" s="328">
        <v>0</v>
      </c>
      <c r="S29" s="328">
        <v>0</v>
      </c>
      <c r="T29" s="328">
        <v>0</v>
      </c>
      <c r="U29" s="328">
        <v>0</v>
      </c>
      <c r="V29" s="328">
        <v>0</v>
      </c>
      <c r="W29" s="328">
        <v>0</v>
      </c>
      <c r="X29" s="328">
        <v>0</v>
      </c>
      <c r="Y29" s="328">
        <v>0</v>
      </c>
      <c r="Z29" s="326">
        <f t="shared" si="2"/>
        <v>1440</v>
      </c>
      <c r="AA29" s="325"/>
    </row>
    <row r="30" spans="1:27" ht="12.75" hidden="1">
      <c r="A30" s="314" t="s">
        <v>491</v>
      </c>
      <c r="D30" s="315" t="e">
        <f>SUM(#REF!)</f>
        <v>#REF!</v>
      </c>
      <c r="E30" s="315" t="e">
        <f>SUM(#REF!)</f>
        <v>#REF!</v>
      </c>
      <c r="F30" s="315" t="e">
        <f>SUM(#REF!)</f>
        <v>#REF!</v>
      </c>
      <c r="G30" s="315" t="e">
        <f>#REF!</f>
        <v>#REF!</v>
      </c>
      <c r="H30" s="315" t="e">
        <f>#REF!</f>
        <v>#REF!</v>
      </c>
      <c r="I30" s="315" t="e">
        <f>#REF!</f>
        <v>#REF!</v>
      </c>
      <c r="J30" s="315" t="e">
        <f>#REF!</f>
        <v>#REF!</v>
      </c>
      <c r="K30" s="315" t="e">
        <f>#REF!</f>
        <v>#REF!</v>
      </c>
      <c r="L30" s="328">
        <v>305000</v>
      </c>
      <c r="N30" s="328">
        <v>25416</v>
      </c>
      <c r="O30" s="328">
        <v>25416</v>
      </c>
      <c r="P30" s="328">
        <v>25416</v>
      </c>
      <c r="Q30" s="328">
        <v>25416</v>
      </c>
      <c r="R30" s="328">
        <v>25416</v>
      </c>
      <c r="S30" s="328">
        <v>25416</v>
      </c>
      <c r="T30" s="328">
        <v>25416</v>
      </c>
      <c r="U30" s="328">
        <v>25416</v>
      </c>
      <c r="V30" s="328">
        <v>25416</v>
      </c>
      <c r="W30" s="328">
        <v>25416</v>
      </c>
      <c r="X30" s="328">
        <v>25420</v>
      </c>
      <c r="Y30" s="328">
        <v>25420</v>
      </c>
      <c r="Z30" s="326">
        <f t="shared" si="2"/>
        <v>305000</v>
      </c>
      <c r="AA30" s="325"/>
    </row>
    <row r="31" spans="1:27" ht="12.75" hidden="1">
      <c r="A31" s="314" t="s">
        <v>492</v>
      </c>
      <c r="D31" s="315" t="e">
        <f>SUM(#REF!)</f>
        <v>#REF!</v>
      </c>
      <c r="E31" s="315" t="e">
        <f>SUM(#REF!)</f>
        <v>#REF!</v>
      </c>
      <c r="F31" s="315" t="e">
        <f>SUM(#REF!)</f>
        <v>#REF!</v>
      </c>
      <c r="G31" s="315" t="e">
        <f>SUM(#REF!)</f>
        <v>#REF!</v>
      </c>
      <c r="H31" s="315" t="e">
        <f>SUM(#REF!)</f>
        <v>#REF!</v>
      </c>
      <c r="I31" s="315" t="e">
        <f>SUM(#REF!)</f>
        <v>#REF!</v>
      </c>
      <c r="J31" s="315" t="e">
        <f>SUM(#REF!)</f>
        <v>#REF!</v>
      </c>
      <c r="K31" s="315" t="e">
        <f>SUM(#REF!)</f>
        <v>#REF!</v>
      </c>
      <c r="L31" s="328">
        <v>0</v>
      </c>
      <c r="N31" s="328">
        <v>0</v>
      </c>
      <c r="O31" s="328">
        <v>0</v>
      </c>
      <c r="P31" s="328">
        <v>0</v>
      </c>
      <c r="Q31" s="328">
        <v>0</v>
      </c>
      <c r="R31" s="328">
        <v>0</v>
      </c>
      <c r="S31" s="328">
        <v>0</v>
      </c>
      <c r="T31" s="328">
        <v>0</v>
      </c>
      <c r="U31" s="328">
        <v>0</v>
      </c>
      <c r="V31" s="328">
        <v>0</v>
      </c>
      <c r="W31" s="328">
        <v>0</v>
      </c>
      <c r="X31" s="328">
        <v>0</v>
      </c>
      <c r="Y31" s="328">
        <v>0</v>
      </c>
      <c r="Z31" s="326">
        <f t="shared" si="2"/>
        <v>0</v>
      </c>
      <c r="AA31" s="325"/>
    </row>
    <row r="32" spans="1:27" s="324" customFormat="1" ht="17.25" customHeight="1">
      <c r="A32" s="323" t="s">
        <v>493</v>
      </c>
      <c r="D32" s="325" t="e">
        <f>SUM(#REF!)</f>
        <v>#REF!</v>
      </c>
      <c r="E32" s="325" t="e">
        <f>SUM(#REF!)</f>
        <v>#REF!</v>
      </c>
      <c r="F32" s="325" t="e">
        <f>SUM(#REF!)</f>
        <v>#REF!</v>
      </c>
      <c r="G32" s="325" t="e">
        <f>SUM(#REF!)</f>
        <v>#REF!</v>
      </c>
      <c r="H32" s="325" t="e">
        <f>SUM(#REF!)</f>
        <v>#REF!</v>
      </c>
      <c r="I32" s="325" t="e">
        <f>SUM(#REF!)</f>
        <v>#REF!</v>
      </c>
      <c r="J32" s="325" t="e">
        <f>SUM(#REF!)</f>
        <v>#REF!</v>
      </c>
      <c r="K32" s="325" t="e">
        <f>SUM(#REF!)</f>
        <v>#REF!</v>
      </c>
      <c r="L32" s="326">
        <v>80500</v>
      </c>
      <c r="N32" s="326">
        <v>6710</v>
      </c>
      <c r="O32" s="326">
        <v>6710</v>
      </c>
      <c r="P32" s="326">
        <v>6710</v>
      </c>
      <c r="Q32" s="326">
        <v>6710</v>
      </c>
      <c r="R32" s="326">
        <v>6710</v>
      </c>
      <c r="S32" s="326">
        <v>6710</v>
      </c>
      <c r="T32" s="326">
        <v>6710</v>
      </c>
      <c r="U32" s="326">
        <v>6710</v>
      </c>
      <c r="V32" s="326">
        <v>6710</v>
      </c>
      <c r="W32" s="326">
        <v>6710</v>
      </c>
      <c r="X32" s="326">
        <v>6700</v>
      </c>
      <c r="Y32" s="326">
        <v>6700</v>
      </c>
      <c r="Z32" s="326">
        <f t="shared" si="2"/>
        <v>80500</v>
      </c>
      <c r="AA32" s="325"/>
    </row>
    <row r="33" spans="1:27" s="333" customFormat="1" ht="17.25" customHeight="1">
      <c r="A33" s="332" t="s">
        <v>494</v>
      </c>
      <c r="D33" s="334" t="e">
        <f>+D34+D35</f>
        <v>#REF!</v>
      </c>
      <c r="E33" s="334" t="e">
        <f>+E34+E35</f>
        <v>#REF!</v>
      </c>
      <c r="F33" s="334" t="e">
        <f>+F34+F35</f>
        <v>#REF!</v>
      </c>
      <c r="G33" s="334" t="e">
        <f>G34+G35</f>
        <v>#REF!</v>
      </c>
      <c r="H33" s="334" t="e">
        <f>H34+H35</f>
        <v>#REF!</v>
      </c>
      <c r="I33" s="334" t="e">
        <f>I34+I35</f>
        <v>#REF!</v>
      </c>
      <c r="J33" s="334" t="e">
        <f>J34+J35</f>
        <v>#REF!</v>
      </c>
      <c r="K33" s="334" t="e">
        <f>K34+K35</f>
        <v>#REF!</v>
      </c>
      <c r="L33" s="335">
        <v>554066</v>
      </c>
      <c r="N33" s="335">
        <v>548515</v>
      </c>
      <c r="O33" s="335">
        <v>0</v>
      </c>
      <c r="P33" s="335">
        <v>0</v>
      </c>
      <c r="Q33" s="335">
        <v>5551</v>
      </c>
      <c r="R33" s="335">
        <v>0</v>
      </c>
      <c r="S33" s="335">
        <v>0</v>
      </c>
      <c r="T33" s="335">
        <v>0</v>
      </c>
      <c r="U33" s="335">
        <v>0</v>
      </c>
      <c r="V33" s="335">
        <v>0</v>
      </c>
      <c r="W33" s="335">
        <v>0</v>
      </c>
      <c r="X33" s="335">
        <v>0</v>
      </c>
      <c r="Y33" s="335">
        <v>0</v>
      </c>
      <c r="Z33" s="326">
        <f t="shared" si="2"/>
        <v>554066</v>
      </c>
      <c r="AA33" s="325"/>
    </row>
    <row r="34" spans="1:27" ht="12.75" customHeight="1" hidden="1">
      <c r="A34" s="314" t="s">
        <v>495</v>
      </c>
      <c r="D34" s="315" t="e">
        <f>SUM(#REF!)</f>
        <v>#REF!</v>
      </c>
      <c r="E34" s="315" t="e">
        <f>SUM(#REF!)</f>
        <v>#REF!</v>
      </c>
      <c r="F34" s="315" t="e">
        <f>SUM(#REF!)</f>
        <v>#REF!</v>
      </c>
      <c r="G34" s="315" t="e">
        <f>SUM(#REF!)</f>
        <v>#REF!</v>
      </c>
      <c r="H34" s="315" t="e">
        <f>SUM(#REF!)</f>
        <v>#REF!</v>
      </c>
      <c r="I34" s="315" t="e">
        <f>SUM(#REF!)</f>
        <v>#REF!</v>
      </c>
      <c r="J34" s="315" t="e">
        <f>SUM(#REF!)</f>
        <v>#REF!</v>
      </c>
      <c r="K34" s="315" t="e">
        <f>SUM(#REF!)</f>
        <v>#REF!</v>
      </c>
      <c r="L34" s="328">
        <v>0</v>
      </c>
      <c r="N34" s="328">
        <v>0</v>
      </c>
      <c r="O34" s="328">
        <v>0</v>
      </c>
      <c r="P34" s="328">
        <v>0</v>
      </c>
      <c r="Q34" s="328">
        <v>0</v>
      </c>
      <c r="R34" s="328">
        <v>0</v>
      </c>
      <c r="S34" s="328">
        <v>0</v>
      </c>
      <c r="T34" s="328">
        <v>0</v>
      </c>
      <c r="U34" s="328">
        <v>0</v>
      </c>
      <c r="V34" s="328">
        <v>0</v>
      </c>
      <c r="W34" s="328">
        <v>0</v>
      </c>
      <c r="X34" s="328">
        <v>0</v>
      </c>
      <c r="Y34" s="328">
        <v>0</v>
      </c>
      <c r="Z34" s="326">
        <f t="shared" si="2"/>
        <v>0</v>
      </c>
      <c r="AA34" s="325"/>
    </row>
    <row r="35" spans="1:27" ht="12.75" hidden="1">
      <c r="A35" s="314" t="s">
        <v>496</v>
      </c>
      <c r="D35" s="315" t="e">
        <f>SUM(#REF!)</f>
        <v>#REF!</v>
      </c>
      <c r="E35" s="315" t="e">
        <f>SUM(#REF!)</f>
        <v>#REF!</v>
      </c>
      <c r="F35" s="315" t="e">
        <f>SUM(#REF!)</f>
        <v>#REF!</v>
      </c>
      <c r="G35" s="315" t="e">
        <f>SUM(#REF!)</f>
        <v>#REF!</v>
      </c>
      <c r="H35" s="315" t="e">
        <f>SUM(#REF!)</f>
        <v>#REF!</v>
      </c>
      <c r="I35" s="315" t="e">
        <f>SUM(#REF!)</f>
        <v>#REF!</v>
      </c>
      <c r="J35" s="315" t="e">
        <f>SUM(#REF!)</f>
        <v>#REF!</v>
      </c>
      <c r="K35" s="315" t="e">
        <f>SUM(#REF!)</f>
        <v>#REF!</v>
      </c>
      <c r="L35" s="328">
        <v>548515</v>
      </c>
      <c r="N35" s="328">
        <v>548515</v>
      </c>
      <c r="O35" s="328">
        <v>0</v>
      </c>
      <c r="P35" s="328">
        <v>0</v>
      </c>
      <c r="Q35" s="328">
        <v>0</v>
      </c>
      <c r="R35" s="328">
        <v>0</v>
      </c>
      <c r="S35" s="328">
        <v>0</v>
      </c>
      <c r="T35" s="328">
        <v>0</v>
      </c>
      <c r="U35" s="328">
        <v>0</v>
      </c>
      <c r="V35" s="328">
        <v>0</v>
      </c>
      <c r="W35" s="328">
        <v>0</v>
      </c>
      <c r="X35" s="328">
        <v>0</v>
      </c>
      <c r="Y35" s="328">
        <v>0</v>
      </c>
      <c r="Z35" s="326">
        <f t="shared" si="2"/>
        <v>548515</v>
      </c>
      <c r="AA35" s="325"/>
    </row>
    <row r="36" spans="1:27" s="324" customFormat="1" ht="17.25" customHeight="1">
      <c r="A36" s="323" t="s">
        <v>497</v>
      </c>
      <c r="D36" s="325" t="e">
        <f>+D3+D14+D18+D21+D26+D32+D33</f>
        <v>#REF!</v>
      </c>
      <c r="E36" s="325" t="e">
        <f>+E3+E14+E18+E21+E26+E32+E33</f>
        <v>#REF!</v>
      </c>
      <c r="F36" s="325" t="e">
        <f>+F3+F14+F18+F21+F26+F32+F33</f>
        <v>#REF!</v>
      </c>
      <c r="G36" s="325" t="e">
        <f>G3+G14+G18+G21+G26+G32+G33</f>
        <v>#REF!</v>
      </c>
      <c r="H36" s="334" t="e">
        <f>H3+H14+H18+H21+H26+H32+H33</f>
        <v>#REF!</v>
      </c>
      <c r="I36" s="325" t="e">
        <f>I3+I14+I18+I21+I26+I32+I33</f>
        <v>#REF!</v>
      </c>
      <c r="J36" s="325" t="e">
        <f>J3+J14+J18+J21+J26+J32+J33</f>
        <v>#REF!</v>
      </c>
      <c r="K36" s="325" t="e">
        <f>K3+K14+K18+K21+K26+K32+K33</f>
        <v>#REF!</v>
      </c>
      <c r="L36" s="326">
        <f>SUM(L33,L32,L26,L21,L18,L14,L9,L4)</f>
        <v>30492672</v>
      </c>
      <c r="N36" s="326">
        <f aca="true" t="shared" si="8" ref="N36:U36">SUM(N33,N32,N26,N21,N18,N14,N3)</f>
        <v>2547541.25</v>
      </c>
      <c r="O36" s="326">
        <f t="shared" si="8"/>
        <v>1335574.25</v>
      </c>
      <c r="P36" s="326">
        <f t="shared" si="8"/>
        <v>3749848.25</v>
      </c>
      <c r="Q36" s="326">
        <f t="shared" si="8"/>
        <v>1544418.25</v>
      </c>
      <c r="R36" s="326">
        <f t="shared" si="8"/>
        <v>2319376.25</v>
      </c>
      <c r="S36" s="326">
        <f t="shared" si="8"/>
        <v>1528197.25</v>
      </c>
      <c r="T36" s="326">
        <f t="shared" si="8"/>
        <v>2125233.25</v>
      </c>
      <c r="U36" s="326">
        <f t="shared" si="8"/>
        <v>2791637.25</v>
      </c>
      <c r="V36" s="326">
        <v>5602348</v>
      </c>
      <c r="W36" s="326">
        <v>3474834</v>
      </c>
      <c r="X36" s="326">
        <f>SUM(X33,X32,X26,X21,X18,X14,X3)</f>
        <v>1512416.25</v>
      </c>
      <c r="Y36" s="326">
        <f>SUM(Y33,Y32,Y26,Y21,Y18,Y14,Y3)</f>
        <v>1961247.25</v>
      </c>
      <c r="Z36" s="326">
        <f t="shared" si="2"/>
        <v>30492671.5</v>
      </c>
      <c r="AA36" s="325"/>
    </row>
    <row r="37" spans="1:27" s="324" customFormat="1" ht="17.25" customHeight="1">
      <c r="A37" s="323" t="s">
        <v>498</v>
      </c>
      <c r="D37" s="325" t="e">
        <f>SUM(#REF!)</f>
        <v>#REF!</v>
      </c>
      <c r="E37" s="325" t="e">
        <f>SUM(#REF!)</f>
        <v>#REF!</v>
      </c>
      <c r="F37" s="325" t="e">
        <f>SUM(#REF!)</f>
        <v>#REF!</v>
      </c>
      <c r="G37" s="325" t="e">
        <f>SUM(#REF!)</f>
        <v>#REF!</v>
      </c>
      <c r="H37" s="325" t="e">
        <f>SUM(#REF!)</f>
        <v>#REF!</v>
      </c>
      <c r="I37" s="325" t="e">
        <f>SUM(#REF!)</f>
        <v>#REF!</v>
      </c>
      <c r="J37" s="325" t="e">
        <f>SUM(#REF!)</f>
        <v>#REF!</v>
      </c>
      <c r="K37" s="325" t="e">
        <f>SUM(#REF!)</f>
        <v>#REF!</v>
      </c>
      <c r="L37" s="326">
        <v>1710317</v>
      </c>
      <c r="N37" s="326">
        <v>0</v>
      </c>
      <c r="O37" s="326">
        <v>0</v>
      </c>
      <c r="P37" s="326">
        <v>0</v>
      </c>
      <c r="Q37" s="326">
        <v>129758</v>
      </c>
      <c r="R37" s="326">
        <v>397627</v>
      </c>
      <c r="S37" s="326">
        <v>1122727</v>
      </c>
      <c r="T37" s="326">
        <v>0</v>
      </c>
      <c r="U37" s="326">
        <v>60205</v>
      </c>
      <c r="V37" s="326">
        <v>0</v>
      </c>
      <c r="W37" s="326">
        <v>0</v>
      </c>
      <c r="X37" s="326">
        <v>0</v>
      </c>
      <c r="Y37" s="326">
        <v>0</v>
      </c>
      <c r="Z37" s="326">
        <f t="shared" si="2"/>
        <v>1710317</v>
      </c>
      <c r="AA37" s="325"/>
    </row>
    <row r="38" spans="1:27" s="324" customFormat="1" ht="17.25" customHeight="1">
      <c r="A38" s="323" t="s">
        <v>499</v>
      </c>
      <c r="D38" s="325"/>
      <c r="E38" s="325"/>
      <c r="F38" s="325"/>
      <c r="G38" s="325"/>
      <c r="H38" s="325"/>
      <c r="I38" s="325"/>
      <c r="J38" s="325"/>
      <c r="K38" s="325"/>
      <c r="L38" s="326">
        <v>0</v>
      </c>
      <c r="N38" s="326">
        <v>214114</v>
      </c>
      <c r="O38" s="326"/>
      <c r="P38" s="326"/>
      <c r="Q38" s="326">
        <v>0</v>
      </c>
      <c r="R38" s="326"/>
      <c r="S38" s="326"/>
      <c r="T38" s="326">
        <v>0</v>
      </c>
      <c r="U38" s="326">
        <v>0</v>
      </c>
      <c r="V38" s="326">
        <v>-214114</v>
      </c>
      <c r="W38" s="326"/>
      <c r="X38" s="326"/>
      <c r="Y38" s="326"/>
      <c r="Z38" s="326">
        <f t="shared" si="2"/>
        <v>0</v>
      </c>
      <c r="AA38" s="325"/>
    </row>
    <row r="39" spans="1:27" s="324" customFormat="1" ht="17.25" customHeight="1">
      <c r="A39" s="323" t="s">
        <v>500</v>
      </c>
      <c r="D39" s="325"/>
      <c r="E39" s="325"/>
      <c r="F39" s="325"/>
      <c r="G39" s="325"/>
      <c r="H39" s="325"/>
      <c r="I39" s="325"/>
      <c r="J39" s="325"/>
      <c r="K39" s="325"/>
      <c r="L39" s="336">
        <v>0</v>
      </c>
      <c r="N39" s="336">
        <v>0</v>
      </c>
      <c r="O39" s="336">
        <v>0</v>
      </c>
      <c r="P39" s="336">
        <v>146044</v>
      </c>
      <c r="Q39" s="336">
        <v>1157390</v>
      </c>
      <c r="R39" s="336">
        <v>559581</v>
      </c>
      <c r="S39" s="336">
        <v>819054</v>
      </c>
      <c r="T39" s="336">
        <v>583891</v>
      </c>
      <c r="U39" s="336">
        <v>80326</v>
      </c>
      <c r="V39" s="336">
        <v>266858</v>
      </c>
      <c r="W39" s="336">
        <v>679291</v>
      </c>
      <c r="X39" s="336">
        <v>1934595</v>
      </c>
      <c r="Y39" s="336">
        <v>666447</v>
      </c>
      <c r="Z39" s="326">
        <v>0</v>
      </c>
      <c r="AA39" s="325"/>
    </row>
    <row r="40" spans="1:27" s="324" customFormat="1" ht="29.25" customHeight="1">
      <c r="A40" s="337" t="s">
        <v>501</v>
      </c>
      <c r="B40" s="337"/>
      <c r="C40" s="337"/>
      <c r="D40" s="338" t="e">
        <f>+D36+D37</f>
        <v>#REF!</v>
      </c>
      <c r="E40" s="338" t="e">
        <f>+E36+E37</f>
        <v>#REF!</v>
      </c>
      <c r="F40" s="338" t="e">
        <f>+F36+F37</f>
        <v>#REF!</v>
      </c>
      <c r="G40" s="338" t="e">
        <f>G36+G37</f>
        <v>#REF!</v>
      </c>
      <c r="H40" s="338" t="e">
        <f>H36+H37</f>
        <v>#REF!</v>
      </c>
      <c r="I40" s="338" t="e">
        <f>I36+I37</f>
        <v>#REF!</v>
      </c>
      <c r="J40" s="338" t="e">
        <f>J36+J37</f>
        <v>#REF!</v>
      </c>
      <c r="K40" s="338" t="e">
        <f>K36+#REF!</f>
        <v>#N/A</v>
      </c>
      <c r="L40" s="339">
        <f>SUM(L36,L37,L38,L39)</f>
        <v>32202989</v>
      </c>
      <c r="M40" s="340">
        <f aca="true" t="shared" si="9" ref="M40:Z40">SUM(M36,M37,M38,M39)</f>
        <v>0</v>
      </c>
      <c r="N40" s="339">
        <f t="shared" si="9"/>
        <v>2761655.25</v>
      </c>
      <c r="O40" s="339">
        <f t="shared" si="9"/>
        <v>1335574.25</v>
      </c>
      <c r="P40" s="339">
        <f t="shared" si="9"/>
        <v>3895892.25</v>
      </c>
      <c r="Q40" s="339">
        <f t="shared" si="9"/>
        <v>2831566.25</v>
      </c>
      <c r="R40" s="339">
        <f t="shared" si="9"/>
        <v>3276584.25</v>
      </c>
      <c r="S40" s="339">
        <f t="shared" si="9"/>
        <v>3469978.25</v>
      </c>
      <c r="T40" s="339">
        <f t="shared" si="9"/>
        <v>2709124.25</v>
      </c>
      <c r="U40" s="339">
        <f t="shared" si="9"/>
        <v>2932168.25</v>
      </c>
      <c r="V40" s="339">
        <f t="shared" si="9"/>
        <v>5655092</v>
      </c>
      <c r="W40" s="339">
        <f t="shared" si="9"/>
        <v>4154125</v>
      </c>
      <c r="X40" s="339">
        <f t="shared" si="9"/>
        <v>3447011.25</v>
      </c>
      <c r="Y40" s="339">
        <f t="shared" si="9"/>
        <v>2627694.25</v>
      </c>
      <c r="Z40" s="341">
        <f t="shared" si="9"/>
        <v>32202988.5</v>
      </c>
      <c r="AA40" s="325"/>
    </row>
    <row r="41" spans="14:27" ht="14.25">
      <c r="N41" s="315" t="s">
        <v>502</v>
      </c>
      <c r="O41" s="315" t="s">
        <v>502</v>
      </c>
      <c r="P41" s="315" t="s">
        <v>502</v>
      </c>
      <c r="Q41" s="315" t="s">
        <v>502</v>
      </c>
      <c r="R41" s="315" t="s">
        <v>502</v>
      </c>
      <c r="S41" s="315" t="s">
        <v>502</v>
      </c>
      <c r="T41" s="315" t="s">
        <v>502</v>
      </c>
      <c r="U41" s="315" t="s">
        <v>502</v>
      </c>
      <c r="V41" s="315" t="s">
        <v>502</v>
      </c>
      <c r="W41" s="315" t="s">
        <v>502</v>
      </c>
      <c r="X41" s="315" t="s">
        <v>502</v>
      </c>
      <c r="Y41" s="315" t="s">
        <v>502</v>
      </c>
      <c r="AA41" s="325"/>
    </row>
    <row r="42" spans="1:27" s="346" customFormat="1" ht="13.5">
      <c r="A42" s="342" t="s">
        <v>503</v>
      </c>
      <c r="B42" s="342"/>
      <c r="C42" s="342"/>
      <c r="D42" s="343"/>
      <c r="E42" s="343"/>
      <c r="F42" s="343"/>
      <c r="G42" s="343"/>
      <c r="H42" s="343"/>
      <c r="I42" s="343"/>
      <c r="J42" s="343"/>
      <c r="K42" s="344"/>
      <c r="L42" s="343">
        <f>SUM(N42:Y42)</f>
        <v>22443042</v>
      </c>
      <c r="M42" s="345"/>
      <c r="N42" s="343">
        <v>2311655</v>
      </c>
      <c r="O42" s="343">
        <v>1019530</v>
      </c>
      <c r="P42" s="343">
        <f>2311655+15489</f>
        <v>2327144</v>
      </c>
      <c r="Q42" s="343">
        <v>2119530</v>
      </c>
      <c r="R42" s="343">
        <v>2119530</v>
      </c>
      <c r="S42" s="343">
        <v>2012714</v>
      </c>
      <c r="T42" s="343">
        <v>1469530</v>
      </c>
      <c r="U42" s="343">
        <v>1565310</v>
      </c>
      <c r="V42" s="343">
        <v>1238505</v>
      </c>
      <c r="W42" s="343">
        <v>2099530</v>
      </c>
      <c r="X42" s="343">
        <v>2109564</v>
      </c>
      <c r="Y42" s="343">
        <v>2050500</v>
      </c>
      <c r="Z42" s="343">
        <f>SUM(N42:Y42)</f>
        <v>22443042</v>
      </c>
      <c r="AA42" s="325"/>
    </row>
    <row r="43" spans="1:27" s="346" customFormat="1" ht="13.5">
      <c r="A43" s="347" t="s">
        <v>504</v>
      </c>
      <c r="B43" s="347"/>
      <c r="C43" s="347"/>
      <c r="D43" s="343"/>
      <c r="E43" s="343"/>
      <c r="F43" s="343"/>
      <c r="G43" s="343"/>
      <c r="H43" s="343"/>
      <c r="I43" s="343"/>
      <c r="J43" s="343"/>
      <c r="K43" s="344"/>
      <c r="L43" s="343">
        <f>SUM(N43:Y43)</f>
        <v>9553920</v>
      </c>
      <c r="M43" s="345"/>
      <c r="N43" s="343">
        <v>450000</v>
      </c>
      <c r="O43" s="343">
        <v>170000</v>
      </c>
      <c r="P43" s="343">
        <v>375000</v>
      </c>
      <c r="Q43" s="343">
        <f>152455+1000</f>
        <v>153455</v>
      </c>
      <c r="R43" s="343">
        <v>338000</v>
      </c>
      <c r="S43" s="343">
        <v>816484</v>
      </c>
      <c r="T43" s="343">
        <v>1159268</v>
      </c>
      <c r="U43" s="343">
        <v>1100000</v>
      </c>
      <c r="V43" s="343">
        <v>3894521</v>
      </c>
      <c r="W43" s="343">
        <v>120000</v>
      </c>
      <c r="X43" s="343">
        <v>671000</v>
      </c>
      <c r="Y43" s="343">
        <v>306192</v>
      </c>
      <c r="Z43" s="343">
        <f>SUM(T43:Y43,S43,R43,Q43,P43,O43,N43)</f>
        <v>9553920</v>
      </c>
      <c r="AA43" s="325"/>
    </row>
    <row r="44" spans="1:27" s="346" customFormat="1" ht="13.5">
      <c r="A44" s="342" t="s">
        <v>505</v>
      </c>
      <c r="B44" s="342" t="s">
        <v>506</v>
      </c>
      <c r="C44" s="342"/>
      <c r="D44" s="343"/>
      <c r="E44" s="343"/>
      <c r="F44" s="343"/>
      <c r="G44" s="343"/>
      <c r="H44" s="343"/>
      <c r="I44" s="343"/>
      <c r="J44" s="343"/>
      <c r="K44" s="344"/>
      <c r="L44" s="343">
        <v>206027</v>
      </c>
      <c r="M44" s="345"/>
      <c r="N44" s="343">
        <f>SUM(N45,N46)</f>
        <v>0</v>
      </c>
      <c r="O44" s="343">
        <f aca="true" t="shared" si="10" ref="O44:Z44">SUM(O45,O46)</f>
        <v>0</v>
      </c>
      <c r="P44" s="343">
        <f t="shared" si="10"/>
        <v>35358</v>
      </c>
      <c r="Q44" s="343">
        <f t="shared" si="10"/>
        <v>0</v>
      </c>
      <c r="R44" s="343">
        <f t="shared" si="10"/>
        <v>0</v>
      </c>
      <c r="S44" s="343">
        <f t="shared" si="10"/>
        <v>56889</v>
      </c>
      <c r="T44" s="343">
        <f t="shared" si="10"/>
        <v>0</v>
      </c>
      <c r="U44" s="343">
        <f t="shared" si="10"/>
        <v>0</v>
      </c>
      <c r="V44" s="343">
        <f t="shared" si="10"/>
        <v>56889</v>
      </c>
      <c r="W44" s="343">
        <f t="shared" si="10"/>
        <v>0</v>
      </c>
      <c r="X44" s="343">
        <f t="shared" si="10"/>
        <v>0</v>
      </c>
      <c r="Y44" s="343">
        <f t="shared" si="10"/>
        <v>56891</v>
      </c>
      <c r="Z44" s="343">
        <f t="shared" si="10"/>
        <v>206027</v>
      </c>
      <c r="AA44" s="325"/>
    </row>
    <row r="45" spans="1:27" s="346" customFormat="1" ht="12.75" hidden="1">
      <c r="A45" s="348" t="s">
        <v>507</v>
      </c>
      <c r="B45" s="348" t="s">
        <v>508</v>
      </c>
      <c r="C45" s="342"/>
      <c r="D45" s="343"/>
      <c r="E45" s="343"/>
      <c r="F45" s="343"/>
      <c r="G45" s="343"/>
      <c r="H45" s="343"/>
      <c r="I45" s="343"/>
      <c r="J45" s="343"/>
      <c r="K45" s="344"/>
      <c r="L45" s="328">
        <v>64593</v>
      </c>
      <c r="M45" s="345"/>
      <c r="N45" s="328">
        <v>0</v>
      </c>
      <c r="O45" s="328">
        <v>0</v>
      </c>
      <c r="P45" s="328">
        <v>0</v>
      </c>
      <c r="Q45" s="328">
        <v>0</v>
      </c>
      <c r="R45" s="328">
        <v>0</v>
      </c>
      <c r="S45" s="328">
        <v>21531</v>
      </c>
      <c r="T45" s="328">
        <v>0</v>
      </c>
      <c r="U45" s="328">
        <v>0</v>
      </c>
      <c r="V45" s="328">
        <v>21531</v>
      </c>
      <c r="W45" s="328">
        <v>0</v>
      </c>
      <c r="X45" s="328">
        <v>0</v>
      </c>
      <c r="Y45" s="328">
        <v>21531</v>
      </c>
      <c r="Z45" s="328">
        <f>SUM(N45:Y45)</f>
        <v>64593</v>
      </c>
      <c r="AA45" s="325"/>
    </row>
    <row r="46" spans="1:27" s="346" customFormat="1" ht="12.75" hidden="1">
      <c r="A46" s="348" t="s">
        <v>509</v>
      </c>
      <c r="B46" s="348" t="s">
        <v>510</v>
      </c>
      <c r="C46" s="342"/>
      <c r="D46" s="343"/>
      <c r="E46" s="343"/>
      <c r="F46" s="343"/>
      <c r="G46" s="343"/>
      <c r="H46" s="343"/>
      <c r="I46" s="343"/>
      <c r="J46" s="343"/>
      <c r="K46" s="344"/>
      <c r="L46" s="328">
        <v>141434</v>
      </c>
      <c r="M46" s="345"/>
      <c r="N46" s="328">
        <v>0</v>
      </c>
      <c r="O46" s="328">
        <v>0</v>
      </c>
      <c r="P46" s="328">
        <v>35358</v>
      </c>
      <c r="Q46" s="328">
        <v>0</v>
      </c>
      <c r="R46" s="328">
        <v>0</v>
      </c>
      <c r="S46" s="328">
        <v>35358</v>
      </c>
      <c r="T46" s="328">
        <v>0</v>
      </c>
      <c r="U46" s="328">
        <v>0</v>
      </c>
      <c r="V46" s="328">
        <v>35358</v>
      </c>
      <c r="W46" s="328">
        <v>0</v>
      </c>
      <c r="X46" s="328">
        <v>0</v>
      </c>
      <c r="Y46" s="328">
        <v>35360</v>
      </c>
      <c r="Z46" s="328">
        <f>SUM(N46:Y46)</f>
        <v>141434</v>
      </c>
      <c r="AA46" s="325"/>
    </row>
    <row r="47" spans="1:27" s="346" customFormat="1" ht="24" customHeight="1">
      <c r="A47" s="342" t="s">
        <v>511</v>
      </c>
      <c r="B47" s="342"/>
      <c r="C47" s="342"/>
      <c r="D47" s="343"/>
      <c r="E47" s="343"/>
      <c r="F47" s="343"/>
      <c r="G47" s="343"/>
      <c r="H47" s="343"/>
      <c r="I47" s="343"/>
      <c r="J47" s="343"/>
      <c r="K47" s="344"/>
      <c r="L47" s="343">
        <f>L44+L43+L42</f>
        <v>32202989</v>
      </c>
      <c r="M47" s="343">
        <f aca="true" t="shared" si="11" ref="M47:Z47">M44+M43+M42</f>
        <v>0</v>
      </c>
      <c r="N47" s="343">
        <f t="shared" si="11"/>
        <v>2761655</v>
      </c>
      <c r="O47" s="343">
        <f t="shared" si="11"/>
        <v>1189530</v>
      </c>
      <c r="P47" s="343">
        <f t="shared" si="11"/>
        <v>2737502</v>
      </c>
      <c r="Q47" s="343">
        <f t="shared" si="11"/>
        <v>2272985</v>
      </c>
      <c r="R47" s="343">
        <f t="shared" si="11"/>
        <v>2457530</v>
      </c>
      <c r="S47" s="343">
        <f t="shared" si="11"/>
        <v>2886087</v>
      </c>
      <c r="T47" s="343">
        <f t="shared" si="11"/>
        <v>2628798</v>
      </c>
      <c r="U47" s="343">
        <f t="shared" si="11"/>
        <v>2665310</v>
      </c>
      <c r="V47" s="343">
        <f t="shared" si="11"/>
        <v>5189915</v>
      </c>
      <c r="W47" s="343">
        <f t="shared" si="11"/>
        <v>2219530</v>
      </c>
      <c r="X47" s="343">
        <f t="shared" si="11"/>
        <v>2780564</v>
      </c>
      <c r="Y47" s="343">
        <f t="shared" si="11"/>
        <v>2413583</v>
      </c>
      <c r="Z47" s="343">
        <f t="shared" si="11"/>
        <v>32202989</v>
      </c>
      <c r="AA47" s="325"/>
    </row>
    <row r="48" ht="14.25">
      <c r="AA48" s="325"/>
    </row>
    <row r="49" spans="1:27" ht="14.25">
      <c r="A49" s="349" t="s">
        <v>512</v>
      </c>
      <c r="B49" s="349"/>
      <c r="C49" s="349"/>
      <c r="D49" s="328"/>
      <c r="E49" s="328"/>
      <c r="F49" s="328"/>
      <c r="G49" s="328"/>
      <c r="H49" s="328"/>
      <c r="I49" s="328"/>
      <c r="J49" s="328"/>
      <c r="K49" s="328"/>
      <c r="L49" s="328">
        <f>L47-L40</f>
        <v>0</v>
      </c>
      <c r="M49" s="328">
        <f>M47-M40</f>
        <v>0</v>
      </c>
      <c r="N49" s="328">
        <f>N40-N47</f>
        <v>0.25</v>
      </c>
      <c r="O49" s="328">
        <f aca="true" t="shared" si="12" ref="O49:Y49">O40-O47</f>
        <v>146044.25</v>
      </c>
      <c r="P49" s="328">
        <f t="shared" si="12"/>
        <v>1158390.25</v>
      </c>
      <c r="Q49" s="328">
        <f t="shared" si="12"/>
        <v>558581.25</v>
      </c>
      <c r="R49" s="328">
        <f t="shared" si="12"/>
        <v>819054.25</v>
      </c>
      <c r="S49" s="328">
        <f t="shared" si="12"/>
        <v>583891.25</v>
      </c>
      <c r="T49" s="328">
        <f t="shared" si="12"/>
        <v>80326.25</v>
      </c>
      <c r="U49" s="328">
        <f t="shared" si="12"/>
        <v>266858.25</v>
      </c>
      <c r="V49" s="328">
        <f t="shared" si="12"/>
        <v>465177</v>
      </c>
      <c r="W49" s="328">
        <f t="shared" si="12"/>
        <v>1934595</v>
      </c>
      <c r="X49" s="328">
        <f t="shared" si="12"/>
        <v>666447.25</v>
      </c>
      <c r="Y49" s="328">
        <f t="shared" si="12"/>
        <v>214111.25</v>
      </c>
      <c r="Z49" s="328" t="s">
        <v>502</v>
      </c>
      <c r="AA49" s="315"/>
    </row>
    <row r="50" spans="14:17" ht="14.25">
      <c r="N50" s="315" t="s">
        <v>502</v>
      </c>
      <c r="O50" s="315" t="s">
        <v>502</v>
      </c>
      <c r="P50" s="315" t="s">
        <v>502</v>
      </c>
      <c r="Q50" s="315" t="s">
        <v>502</v>
      </c>
    </row>
    <row r="51" ht="14.25">
      <c r="W51" s="315" t="s">
        <v>502</v>
      </c>
    </row>
  </sheetData>
  <sheetProtection selectLockedCells="1" selectUnlockedCells="1"/>
  <mergeCells count="6">
    <mergeCell ref="A1:C2"/>
    <mergeCell ref="D1:E1"/>
    <mergeCell ref="G1:K1"/>
    <mergeCell ref="L1:L2"/>
    <mergeCell ref="M1:M2"/>
    <mergeCell ref="A40:C40"/>
  </mergeCells>
  <printOptions gridLines="1" horizontalCentered="1" verticalCentered="1"/>
  <pageMargins left="0.2361111111111111" right="0.2361111111111111" top="0.6694444444444444" bottom="0.3541666666666667" header="0.15763888888888888" footer="0.5118055555555555"/>
  <pageSetup horizontalDpi="300" verticalDpi="300" orientation="landscape" paperSize="9" scale="65"/>
  <headerFooter alignWithMargins="0">
    <oddHeader>&amp;C&amp;"Arial,Félkövér"Kecskemét Megyei Jogú Város Önkormányzata
2008. évi bevételi és kiadási előirányzatainak felhasználási ütemterve&amp;R5. számú táblázat
adatok 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41">
      <selection activeCell="H23" sqref="H23"/>
    </sheetView>
  </sheetViews>
  <sheetFormatPr defaultColWidth="9.140625" defaultRowHeight="15"/>
  <cols>
    <col min="1" max="1" width="63.00390625" style="350" customWidth="1"/>
    <col min="2" max="2" width="0" style="351" hidden="1" customWidth="1"/>
    <col min="3" max="5" width="10.57421875" style="352" customWidth="1"/>
    <col min="6" max="16384" width="9.140625" style="353" customWidth="1"/>
  </cols>
  <sheetData>
    <row r="1" spans="1:5" s="357" customFormat="1" ht="25.5" customHeight="1">
      <c r="A1" s="354" t="s">
        <v>513</v>
      </c>
      <c r="B1" s="355" t="s">
        <v>514</v>
      </c>
      <c r="C1" s="356" t="s">
        <v>515</v>
      </c>
      <c r="D1" s="356" t="s">
        <v>516</v>
      </c>
      <c r="E1" s="356" t="s">
        <v>517</v>
      </c>
    </row>
    <row r="2" spans="1:5" ht="21.75" customHeight="1">
      <c r="A2" s="358" t="s">
        <v>518</v>
      </c>
      <c r="B2" s="358"/>
      <c r="C2" s="358"/>
      <c r="D2" s="358"/>
      <c r="E2" s="358"/>
    </row>
    <row r="3" spans="1:5" s="362" customFormat="1" ht="38.25" customHeight="1">
      <c r="A3" s="359" t="s">
        <v>14</v>
      </c>
      <c r="B3" s="360">
        <v>1</v>
      </c>
      <c r="C3" s="361">
        <f>3087682-C32-C33</f>
        <v>2442467</v>
      </c>
      <c r="D3" s="361">
        <f>3056561*1.055</f>
        <v>3224671.855</v>
      </c>
      <c r="E3" s="361">
        <f>3224672*1.035</f>
        <v>3337535.5199999996</v>
      </c>
    </row>
    <row r="4" spans="1:5" s="362" customFormat="1" ht="21.75" customHeight="1">
      <c r="A4" s="359" t="s">
        <v>519</v>
      </c>
      <c r="B4" s="360">
        <v>2</v>
      </c>
      <c r="C4" s="361">
        <v>9894814</v>
      </c>
      <c r="D4" s="361">
        <f>9844814*1.055</f>
        <v>10386278.77</v>
      </c>
      <c r="E4" s="361">
        <f>10386279*1.035</f>
        <v>10749798.764999999</v>
      </c>
    </row>
    <row r="5" spans="1:5" s="362" customFormat="1" ht="25.5" customHeight="1">
      <c r="A5" s="359" t="s">
        <v>520</v>
      </c>
      <c r="B5" s="360">
        <v>3</v>
      </c>
      <c r="C5" s="361">
        <v>8017552</v>
      </c>
      <c r="D5" s="361">
        <f>C5*1.055</f>
        <v>8458517.36</v>
      </c>
      <c r="E5" s="361">
        <f aca="true" t="shared" si="0" ref="E5:E10">D5*1.035</f>
        <v>8754565.4676</v>
      </c>
    </row>
    <row r="6" spans="1:5" s="362" customFormat="1" ht="21.75" customHeight="1">
      <c r="A6" s="359" t="s">
        <v>521</v>
      </c>
      <c r="B6" s="360">
        <v>4</v>
      </c>
      <c r="C6" s="361">
        <v>20494</v>
      </c>
      <c r="D6" s="361">
        <f>C6*1.055</f>
        <v>21621.17</v>
      </c>
      <c r="E6" s="361">
        <f t="shared" si="0"/>
        <v>22377.910949999998</v>
      </c>
    </row>
    <row r="7" spans="1:5" s="362" customFormat="1" ht="21.75" customHeight="1">
      <c r="A7" s="359" t="s">
        <v>522</v>
      </c>
      <c r="B7" s="360">
        <v>5</v>
      </c>
      <c r="C7" s="361">
        <f>1776777+16489</f>
        <v>1793266</v>
      </c>
      <c r="D7" s="361">
        <f>C7*1.055</f>
        <v>1891895.63</v>
      </c>
      <c r="E7" s="361">
        <f t="shared" si="0"/>
        <v>1958111.9770499996</v>
      </c>
    </row>
    <row r="8" spans="1:5" s="362" customFormat="1" ht="21.75" customHeight="1">
      <c r="A8" s="359" t="s">
        <v>28</v>
      </c>
      <c r="B8" s="360">
        <v>7</v>
      </c>
      <c r="C8" s="363">
        <v>0</v>
      </c>
      <c r="D8" s="361">
        <v>0</v>
      </c>
      <c r="E8" s="361">
        <f t="shared" si="0"/>
        <v>0</v>
      </c>
    </row>
    <row r="9" spans="1:5" s="362" customFormat="1" ht="21.75" customHeight="1">
      <c r="A9" s="359" t="s">
        <v>523</v>
      </c>
      <c r="B9" s="360">
        <v>8</v>
      </c>
      <c r="C9" s="363">
        <v>0</v>
      </c>
      <c r="D9" s="361">
        <v>0</v>
      </c>
      <c r="E9" s="361">
        <f t="shared" si="0"/>
        <v>0</v>
      </c>
    </row>
    <row r="10" spans="1:5" s="362" customFormat="1" ht="21.75" customHeight="1">
      <c r="A10" s="359" t="s">
        <v>524</v>
      </c>
      <c r="B10" s="360">
        <v>9</v>
      </c>
      <c r="C10" s="356" t="s">
        <v>525</v>
      </c>
      <c r="D10" s="361">
        <v>0</v>
      </c>
      <c r="E10" s="361">
        <f t="shared" si="0"/>
        <v>0</v>
      </c>
    </row>
    <row r="11" spans="1:5" s="362" customFormat="1" ht="21.75" customHeight="1">
      <c r="A11" s="359" t="s">
        <v>526</v>
      </c>
      <c r="B11" s="360">
        <v>10</v>
      </c>
      <c r="C11" s="361">
        <v>5551</v>
      </c>
      <c r="D11" s="361">
        <v>0</v>
      </c>
      <c r="E11" s="361">
        <v>0</v>
      </c>
    </row>
    <row r="12" spans="1:5" s="367" customFormat="1" ht="21.75" customHeight="1">
      <c r="A12" s="364" t="s">
        <v>527</v>
      </c>
      <c r="B12" s="365">
        <v>11</v>
      </c>
      <c r="C12" s="366">
        <f>SUM(C3:C11)</f>
        <v>22174144</v>
      </c>
      <c r="D12" s="366">
        <f>SUM(D3:D11)</f>
        <v>23982984.785</v>
      </c>
      <c r="E12" s="366">
        <f>SUM(E3:E11)</f>
        <v>24822389.640599996</v>
      </c>
    </row>
    <row r="13" spans="1:5" s="362" customFormat="1" ht="21.75" customHeight="1">
      <c r="A13" s="368" t="s">
        <v>528</v>
      </c>
      <c r="B13" s="360">
        <v>12</v>
      </c>
      <c r="C13" s="361">
        <f>9239841+4727</f>
        <v>9244568</v>
      </c>
      <c r="D13" s="361">
        <f aca="true" t="shared" si="1" ref="D13:D24">C13*1.055</f>
        <v>9753019.24</v>
      </c>
      <c r="E13" s="361">
        <f aca="true" t="shared" si="2" ref="E13:E24">D13*1.035</f>
        <v>10094374.9134</v>
      </c>
    </row>
    <row r="14" spans="1:5" s="362" customFormat="1" ht="21.75" customHeight="1">
      <c r="A14" s="368" t="s">
        <v>143</v>
      </c>
      <c r="B14" s="360">
        <v>13</v>
      </c>
      <c r="C14" s="361">
        <f>2944512+1513</f>
        <v>2946025</v>
      </c>
      <c r="D14" s="361">
        <f t="shared" si="1"/>
        <v>3108056.375</v>
      </c>
      <c r="E14" s="361">
        <f t="shared" si="2"/>
        <v>3216838.3481249996</v>
      </c>
    </row>
    <row r="15" spans="1:5" s="362" customFormat="1" ht="25.5" customHeight="1">
      <c r="A15" s="359" t="s">
        <v>529</v>
      </c>
      <c r="B15" s="360">
        <v>14</v>
      </c>
      <c r="C15" s="361">
        <f>6861985+368359-141342-C41-C46+8398</f>
        <v>6689948</v>
      </c>
      <c r="D15" s="361">
        <f t="shared" si="1"/>
        <v>7057895.14</v>
      </c>
      <c r="E15" s="361">
        <f t="shared" si="2"/>
        <v>7304921.469899999</v>
      </c>
    </row>
    <row r="16" spans="1:5" s="362" customFormat="1" ht="25.5" customHeight="1">
      <c r="A16" s="359" t="s">
        <v>530</v>
      </c>
      <c r="B16" s="360">
        <v>15</v>
      </c>
      <c r="C16" s="361">
        <f>1150761-26149</f>
        <v>1124612</v>
      </c>
      <c r="D16" s="361">
        <f t="shared" si="1"/>
        <v>1186465.66</v>
      </c>
      <c r="E16" s="361">
        <f t="shared" si="2"/>
        <v>1227991.9581</v>
      </c>
    </row>
    <row r="17" spans="1:5" s="362" customFormat="1" ht="21.75" customHeight="1">
      <c r="A17" s="359" t="s">
        <v>25</v>
      </c>
      <c r="B17" s="360">
        <v>16</v>
      </c>
      <c r="C17" s="361">
        <v>329560</v>
      </c>
      <c r="D17" s="361">
        <f t="shared" si="1"/>
        <v>347685.8</v>
      </c>
      <c r="E17" s="361">
        <f t="shared" si="2"/>
        <v>359854.80299999996</v>
      </c>
    </row>
    <row r="18" spans="1:5" s="362" customFormat="1" ht="21.75" customHeight="1">
      <c r="A18" s="359" t="s">
        <v>531</v>
      </c>
      <c r="B18" s="360"/>
      <c r="C18" s="361">
        <v>960000</v>
      </c>
      <c r="D18" s="361">
        <f t="shared" si="1"/>
        <v>1012799.9999999999</v>
      </c>
      <c r="E18" s="361">
        <f t="shared" si="2"/>
        <v>1048247.9999999998</v>
      </c>
    </row>
    <row r="19" spans="1:5" s="362" customFormat="1" ht="21.75" customHeight="1">
      <c r="A19" s="368" t="s">
        <v>532</v>
      </c>
      <c r="B19" s="360">
        <v>18</v>
      </c>
      <c r="C19" s="361">
        <v>80826</v>
      </c>
      <c r="D19" s="361">
        <f t="shared" si="1"/>
        <v>85271.43</v>
      </c>
      <c r="E19" s="361">
        <f t="shared" si="2"/>
        <v>88255.93004999998</v>
      </c>
    </row>
    <row r="20" spans="1:5" s="362" customFormat="1" ht="21.75" customHeight="1">
      <c r="A20" s="368" t="s">
        <v>533</v>
      </c>
      <c r="B20" s="360">
        <v>19</v>
      </c>
      <c r="C20" s="361">
        <v>0</v>
      </c>
      <c r="D20" s="361">
        <f t="shared" si="1"/>
        <v>0</v>
      </c>
      <c r="E20" s="361">
        <f t="shared" si="2"/>
        <v>0</v>
      </c>
    </row>
    <row r="21" spans="1:5" s="362" customFormat="1" ht="21.75" customHeight="1">
      <c r="A21" s="368" t="s">
        <v>534</v>
      </c>
      <c r="B21" s="360">
        <v>20</v>
      </c>
      <c r="C21" s="363">
        <v>64593</v>
      </c>
      <c r="D21" s="361">
        <v>86126</v>
      </c>
      <c r="E21" s="361">
        <v>86126</v>
      </c>
    </row>
    <row r="22" spans="1:5" s="362" customFormat="1" ht="21.75" customHeight="1">
      <c r="A22" s="368" t="s">
        <v>535</v>
      </c>
      <c r="B22" s="360">
        <v>21</v>
      </c>
      <c r="C22" s="363">
        <v>141342</v>
      </c>
      <c r="D22" s="361">
        <v>128974</v>
      </c>
      <c r="E22" s="361">
        <v>119515</v>
      </c>
    </row>
    <row r="23" spans="1:5" s="362" customFormat="1" ht="21.75" customHeight="1">
      <c r="A23" s="368" t="s">
        <v>536</v>
      </c>
      <c r="B23" s="360">
        <v>22</v>
      </c>
      <c r="C23" s="356">
        <v>0</v>
      </c>
      <c r="D23" s="361">
        <f t="shared" si="1"/>
        <v>0</v>
      </c>
      <c r="E23" s="361">
        <f t="shared" si="2"/>
        <v>0</v>
      </c>
    </row>
    <row r="24" spans="1:5" s="362" customFormat="1" ht="21.75" customHeight="1">
      <c r="A24" s="368" t="s">
        <v>35</v>
      </c>
      <c r="B24" s="360">
        <v>23</v>
      </c>
      <c r="C24" s="361">
        <f>491709+27000</f>
        <v>518709</v>
      </c>
      <c r="D24" s="361">
        <f t="shared" si="1"/>
        <v>547237.995</v>
      </c>
      <c r="E24" s="361">
        <f t="shared" si="2"/>
        <v>566391.3248249999</v>
      </c>
    </row>
    <row r="25" spans="1:5" s="367" customFormat="1" ht="21.75" customHeight="1">
      <c r="A25" s="364" t="s">
        <v>537</v>
      </c>
      <c r="B25" s="365">
        <v>24</v>
      </c>
      <c r="C25" s="366">
        <f>SUM(C13:C24)</f>
        <v>22100183</v>
      </c>
      <c r="D25" s="366">
        <f>SUM(D13:D24)</f>
        <v>23313531.64</v>
      </c>
      <c r="E25" s="366">
        <f>SUM(E13:E24)</f>
        <v>24112517.7474</v>
      </c>
    </row>
    <row r="26" spans="1:5" s="362" customFormat="1" ht="21.75" customHeight="1">
      <c r="A26" s="369" t="s">
        <v>538</v>
      </c>
      <c r="B26" s="369"/>
      <c r="C26" s="369"/>
      <c r="D26" s="369"/>
      <c r="E26" s="369"/>
    </row>
    <row r="27" spans="1:5" s="362" customFormat="1" ht="25.5" customHeight="1">
      <c r="A27" s="370" t="s">
        <v>539</v>
      </c>
      <c r="B27" s="360">
        <v>25</v>
      </c>
      <c r="C27" s="361">
        <f>1292200-C28</f>
        <v>814200</v>
      </c>
      <c r="D27" s="371">
        <v>400000</v>
      </c>
      <c r="E27" s="371">
        <v>400000</v>
      </c>
    </row>
    <row r="28" spans="1:5" s="362" customFormat="1" ht="21.75" customHeight="1">
      <c r="A28" s="372" t="s">
        <v>540</v>
      </c>
      <c r="B28" s="360">
        <v>26</v>
      </c>
      <c r="C28" s="361">
        <v>478000</v>
      </c>
      <c r="D28" s="371">
        <v>300000</v>
      </c>
      <c r="E28" s="371">
        <v>300000</v>
      </c>
    </row>
    <row r="29" spans="1:5" s="362" customFormat="1" ht="21.75" customHeight="1">
      <c r="A29" s="372" t="s">
        <v>541</v>
      </c>
      <c r="B29" s="360">
        <v>27</v>
      </c>
      <c r="C29" s="361">
        <v>0</v>
      </c>
      <c r="D29" s="361"/>
      <c r="E29" s="361"/>
    </row>
    <row r="30" spans="1:5" s="362" customFormat="1" ht="21.75" customHeight="1">
      <c r="A30" s="372" t="s">
        <v>542</v>
      </c>
      <c r="B30" s="360">
        <v>28</v>
      </c>
      <c r="C30" s="361">
        <v>595000</v>
      </c>
      <c r="D30" s="371">
        <v>50000</v>
      </c>
      <c r="E30" s="371">
        <v>50000</v>
      </c>
    </row>
    <row r="31" spans="1:5" s="362" customFormat="1" ht="21.75" customHeight="1">
      <c r="A31" s="372" t="s">
        <v>543</v>
      </c>
      <c r="B31" s="360">
        <v>29</v>
      </c>
      <c r="C31" s="361">
        <v>5157098</v>
      </c>
      <c r="D31" s="371">
        <f>+(D39+D40)*0.6</f>
        <v>1860000</v>
      </c>
      <c r="E31" s="371">
        <f>+(E39+E40)*0.6</f>
        <v>1860000</v>
      </c>
    </row>
    <row r="32" spans="1:5" s="362" customFormat="1" ht="21.75" customHeight="1">
      <c r="A32" s="372" t="s">
        <v>544</v>
      </c>
      <c r="B32" s="360">
        <v>31</v>
      </c>
      <c r="C32" s="361">
        <v>423315</v>
      </c>
      <c r="D32" s="361">
        <v>0</v>
      </c>
      <c r="E32" s="361">
        <v>0</v>
      </c>
    </row>
    <row r="33" spans="1:5" s="362" customFormat="1" ht="21.75" customHeight="1">
      <c r="A33" s="372" t="s">
        <v>545</v>
      </c>
      <c r="B33" s="360">
        <v>32</v>
      </c>
      <c r="C33" s="361">
        <v>221900</v>
      </c>
      <c r="D33" s="361">
        <f>+(D27+D28)*0.2</f>
        <v>140000</v>
      </c>
      <c r="E33" s="361">
        <f>+(E27+E28)*0.2</f>
        <v>140000</v>
      </c>
    </row>
    <row r="34" spans="1:5" s="362" customFormat="1" ht="21.75" customHeight="1">
      <c r="A34" s="372" t="s">
        <v>546</v>
      </c>
      <c r="B34" s="360">
        <v>34</v>
      </c>
      <c r="C34" s="361">
        <v>80500</v>
      </c>
      <c r="D34" s="361">
        <v>80000</v>
      </c>
      <c r="E34" s="361">
        <v>80000</v>
      </c>
    </row>
    <row r="35" spans="1:5" s="362" customFormat="1" ht="21.75" customHeight="1">
      <c r="A35" s="372" t="s">
        <v>547</v>
      </c>
      <c r="B35" s="360">
        <v>35</v>
      </c>
      <c r="C35" s="363">
        <v>685294</v>
      </c>
      <c r="D35" s="361">
        <f>27424629-26795589-1055</f>
        <v>627985</v>
      </c>
      <c r="E35" s="361">
        <f>28229740-27634385-1092</f>
        <v>594263</v>
      </c>
    </row>
    <row r="36" spans="1:5" s="362" customFormat="1" ht="21.75" customHeight="1">
      <c r="A36" s="372" t="s">
        <v>548</v>
      </c>
      <c r="B36" s="360"/>
      <c r="C36" s="363">
        <v>1025023</v>
      </c>
      <c r="D36" s="371"/>
      <c r="E36" s="371"/>
    </row>
    <row r="37" spans="1:5" s="362" customFormat="1" ht="21.75" customHeight="1">
      <c r="A37" s="372" t="s">
        <v>549</v>
      </c>
      <c r="B37" s="360">
        <v>36</v>
      </c>
      <c r="C37" s="363">
        <v>548515</v>
      </c>
      <c r="D37" s="361">
        <v>0</v>
      </c>
      <c r="E37" s="361">
        <v>0</v>
      </c>
    </row>
    <row r="38" spans="1:5" s="367" customFormat="1" ht="21.75" customHeight="1">
      <c r="A38" s="373" t="s">
        <v>550</v>
      </c>
      <c r="B38" s="365">
        <v>37</v>
      </c>
      <c r="C38" s="366">
        <f>SUM(C27:C37)</f>
        <v>10028845</v>
      </c>
      <c r="D38" s="366">
        <f>SUM(D27:D37)</f>
        <v>3457985</v>
      </c>
      <c r="E38" s="366">
        <f>SUM(E27:E37)</f>
        <v>3424263</v>
      </c>
    </row>
    <row r="39" spans="1:5" s="362" customFormat="1" ht="21.75" customHeight="1">
      <c r="A39" s="374" t="s">
        <v>551</v>
      </c>
      <c r="B39" s="360">
        <v>38</v>
      </c>
      <c r="C39" s="361">
        <f>7507020+1000</f>
        <v>7508020</v>
      </c>
      <c r="D39" s="361">
        <v>2500000</v>
      </c>
      <c r="E39" s="361">
        <v>2500000</v>
      </c>
    </row>
    <row r="40" spans="1:5" s="362" customFormat="1" ht="21.75" customHeight="1">
      <c r="A40" s="374" t="s">
        <v>552</v>
      </c>
      <c r="B40" s="360">
        <v>39</v>
      </c>
      <c r="C40" s="361">
        <v>804496</v>
      </c>
      <c r="D40" s="361">
        <v>600000</v>
      </c>
      <c r="E40" s="361">
        <v>600000</v>
      </c>
    </row>
    <row r="41" spans="1:5" s="362" customFormat="1" ht="21.75" customHeight="1">
      <c r="A41" s="374" t="s">
        <v>553</v>
      </c>
      <c r="B41" s="360">
        <v>40</v>
      </c>
      <c r="C41" s="361">
        <f>+C33</f>
        <v>221900</v>
      </c>
      <c r="D41" s="361">
        <f>+D33</f>
        <v>140000</v>
      </c>
      <c r="E41" s="361">
        <f>+E33</f>
        <v>140000</v>
      </c>
    </row>
    <row r="42" spans="1:5" s="362" customFormat="1" ht="21.75" customHeight="1">
      <c r="A42" s="374" t="s">
        <v>554</v>
      </c>
      <c r="B42" s="360">
        <v>41</v>
      </c>
      <c r="C42" s="361">
        <v>193283</v>
      </c>
      <c r="D42" s="361">
        <v>50000</v>
      </c>
      <c r="E42" s="361">
        <v>50000</v>
      </c>
    </row>
    <row r="43" spans="1:5" s="362" customFormat="1" ht="21.75" customHeight="1">
      <c r="A43" s="372" t="s">
        <v>46</v>
      </c>
      <c r="B43" s="360">
        <v>42</v>
      </c>
      <c r="C43" s="361">
        <v>87967</v>
      </c>
      <c r="D43" s="361">
        <v>5000</v>
      </c>
      <c r="E43" s="361">
        <v>5000</v>
      </c>
    </row>
    <row r="44" spans="1:5" s="362" customFormat="1" ht="21.75" customHeight="1">
      <c r="A44" s="374" t="s">
        <v>555</v>
      </c>
      <c r="B44" s="360">
        <v>44</v>
      </c>
      <c r="C44" s="361">
        <v>69700</v>
      </c>
      <c r="D44" s="361">
        <f>70000+36000</f>
        <v>106000</v>
      </c>
      <c r="E44" s="361">
        <v>70000</v>
      </c>
    </row>
    <row r="45" spans="1:5" s="362" customFormat="1" ht="21.75" customHeight="1">
      <c r="A45" s="374" t="s">
        <v>556</v>
      </c>
      <c r="B45" s="360">
        <v>45</v>
      </c>
      <c r="C45" s="361">
        <v>141434</v>
      </c>
      <c r="D45" s="361">
        <v>308879</v>
      </c>
      <c r="E45" s="361">
        <v>378413</v>
      </c>
    </row>
    <row r="46" spans="1:5" s="362" customFormat="1" ht="21.75" customHeight="1">
      <c r="A46" s="374" t="s">
        <v>557</v>
      </c>
      <c r="B46" s="360">
        <v>46</v>
      </c>
      <c r="C46" s="361">
        <v>185552</v>
      </c>
      <c r="D46" s="361">
        <v>217559</v>
      </c>
      <c r="E46" s="361">
        <v>190722</v>
      </c>
    </row>
    <row r="47" spans="1:5" s="362" customFormat="1" ht="21.75" customHeight="1">
      <c r="A47" s="374" t="s">
        <v>558</v>
      </c>
      <c r="B47" s="360">
        <v>47</v>
      </c>
      <c r="C47" s="363">
        <v>0</v>
      </c>
      <c r="D47" s="361">
        <v>0</v>
      </c>
      <c r="E47" s="361">
        <v>0</v>
      </c>
    </row>
    <row r="48" spans="1:5" s="362" customFormat="1" ht="21.75" customHeight="1">
      <c r="A48" s="374" t="s">
        <v>50</v>
      </c>
      <c r="B48" s="360"/>
      <c r="C48" s="363">
        <v>2454</v>
      </c>
      <c r="D48" s="371"/>
      <c r="E48" s="371"/>
    </row>
    <row r="49" spans="1:5" s="362" customFormat="1" ht="21.75" customHeight="1">
      <c r="A49" s="374" t="s">
        <v>35</v>
      </c>
      <c r="B49" s="360">
        <v>48</v>
      </c>
      <c r="C49" s="361">
        <v>888000</v>
      </c>
      <c r="D49" s="361">
        <v>200000</v>
      </c>
      <c r="E49" s="361">
        <v>200000</v>
      </c>
    </row>
    <row r="50" spans="1:5" s="367" customFormat="1" ht="21.75" customHeight="1">
      <c r="A50" s="373" t="s">
        <v>559</v>
      </c>
      <c r="B50" s="365">
        <v>49</v>
      </c>
      <c r="C50" s="366">
        <f>SUM(C39:C49)</f>
        <v>10102806</v>
      </c>
      <c r="D50" s="366">
        <f>SUM(D39:D49)</f>
        <v>4127438</v>
      </c>
      <c r="E50" s="366">
        <f>SUM(E39:E49)</f>
        <v>4134135</v>
      </c>
    </row>
    <row r="51" spans="1:5" s="367" customFormat="1" ht="21.75" customHeight="1">
      <c r="A51" s="373" t="s">
        <v>560</v>
      </c>
      <c r="B51" s="365">
        <v>50</v>
      </c>
      <c r="C51" s="366">
        <f>+C12+C38</f>
        <v>32202989</v>
      </c>
      <c r="D51" s="366">
        <f>+D12+D38</f>
        <v>27440969.785</v>
      </c>
      <c r="E51" s="366">
        <f>+E12+E38</f>
        <v>28246652.640599996</v>
      </c>
    </row>
    <row r="52" spans="1:5" s="367" customFormat="1" ht="21.75" customHeight="1">
      <c r="A52" s="373" t="s">
        <v>561</v>
      </c>
      <c r="B52" s="365">
        <v>51</v>
      </c>
      <c r="C52" s="366">
        <f>C25+C50</f>
        <v>32202989</v>
      </c>
      <c r="D52" s="366">
        <f>+D25+D50</f>
        <v>27440969.64</v>
      </c>
      <c r="E52" s="366">
        <f>+E25+E50</f>
        <v>28246652.7474</v>
      </c>
    </row>
  </sheetData>
  <sheetProtection selectLockedCells="1" selectUnlockedCells="1"/>
  <mergeCells count="2">
    <mergeCell ref="A2:E2"/>
    <mergeCell ref="A26:E26"/>
  </mergeCells>
  <printOptions horizontalCentered="1" verticalCentered="1"/>
  <pageMargins left="0.2361111111111111" right="0.27569444444444446" top="1.2062499999999998" bottom="0.9840277777777777" header="0.5118055555555555" footer="0.5118055555555555"/>
  <pageSetup firstPageNumber="54" useFirstPageNumber="1" horizontalDpi="300" verticalDpi="300" orientation="portrait" paperSize="9"/>
  <headerFooter alignWithMargins="0">
    <oddHeader>&amp;C&amp;"Arial CE,Félkövér"&amp;12Kecskemét Megyei Jogú Város Önkormányzatának
 a 2008. évi költségvetési évet követő 2 év várható előirányzatai&amp;R&amp;"Arial,Normál"6. számú táblázat
adatok EFt-ban</oddHeader>
  </headerFooter>
  <rowBreaks count="1" manualBreakCount="1">
    <brk id="2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pane ySplit="1" topLeftCell="A24" activePane="bottomLeft" state="frozen"/>
      <selection pane="topLeft" activeCell="A1" sqref="A1"/>
      <selection pane="bottomLeft" activeCell="H23" sqref="H23"/>
    </sheetView>
  </sheetViews>
  <sheetFormatPr defaultColWidth="9.140625" defaultRowHeight="15"/>
  <cols>
    <col min="1" max="1" width="38.8515625" style="375" customWidth="1"/>
    <col min="2" max="3" width="12.140625" style="376" customWidth="1"/>
    <col min="4" max="5" width="12.140625" style="375" customWidth="1"/>
    <col min="6" max="16384" width="9.140625" style="375" customWidth="1"/>
  </cols>
  <sheetData>
    <row r="1" spans="1:5" s="379" customFormat="1" ht="43.5" customHeight="1">
      <c r="A1" s="377" t="s">
        <v>562</v>
      </c>
      <c r="B1" s="378" t="s">
        <v>563</v>
      </c>
      <c r="C1" s="378" t="s">
        <v>564</v>
      </c>
      <c r="D1" s="378" t="s">
        <v>565</v>
      </c>
      <c r="E1" s="378" t="s">
        <v>566</v>
      </c>
    </row>
    <row r="2" spans="1:5" s="379" customFormat="1" ht="30" customHeight="1">
      <c r="A2" s="377" t="s">
        <v>17</v>
      </c>
      <c r="B2" s="380">
        <f>SUM(B3:B3)</f>
        <v>4672</v>
      </c>
      <c r="C2" s="380">
        <f>SUM(C3:C3)</f>
        <v>140000</v>
      </c>
      <c r="D2" s="380">
        <f>SUM(D3:D3)</f>
        <v>106800</v>
      </c>
      <c r="E2" s="380">
        <f>SUM(E3:E3)</f>
        <v>106800</v>
      </c>
    </row>
    <row r="3" spans="1:5" s="379" customFormat="1" ht="49.5" customHeight="1">
      <c r="A3" s="381" t="s">
        <v>567</v>
      </c>
      <c r="B3" s="382">
        <v>4672</v>
      </c>
      <c r="C3" s="382">
        <v>140000</v>
      </c>
      <c r="D3" s="382">
        <v>106800</v>
      </c>
      <c r="E3" s="382">
        <v>106800</v>
      </c>
    </row>
    <row r="4" spans="1:5" s="379" customFormat="1" ht="30" customHeight="1">
      <c r="A4" s="377" t="s">
        <v>568</v>
      </c>
      <c r="B4" s="380">
        <f>SUM(B5:B5)</f>
        <v>129582</v>
      </c>
      <c r="C4" s="380">
        <f>SUM(C5:C5)</f>
        <v>141456</v>
      </c>
      <c r="D4" s="380">
        <f>SUM(D5:D5)</f>
        <v>149236.08</v>
      </c>
      <c r="E4" s="380">
        <f>SUM(E5:E5)</f>
        <v>154459.34279999998</v>
      </c>
    </row>
    <row r="5" spans="1:5" s="379" customFormat="1" ht="49.5" customHeight="1">
      <c r="A5" s="381" t="s">
        <v>569</v>
      </c>
      <c r="B5" s="382">
        <v>129582</v>
      </c>
      <c r="C5" s="382">
        <v>141456</v>
      </c>
      <c r="D5" s="382">
        <f>+C5*1.055</f>
        <v>149236.08</v>
      </c>
      <c r="E5" s="382">
        <f>+D5*1.035</f>
        <v>154459.34279999998</v>
      </c>
    </row>
    <row r="6" spans="1:5" s="379" customFormat="1" ht="30" customHeight="1">
      <c r="A6" s="377" t="s">
        <v>570</v>
      </c>
      <c r="B6" s="380">
        <f>SUM(B7:B22)</f>
        <v>571939</v>
      </c>
      <c r="C6" s="380">
        <f>SUM(C7:C22)</f>
        <v>641500</v>
      </c>
      <c r="D6" s="380">
        <f>SUM(D7:D22)</f>
        <v>573549.7262500001</v>
      </c>
      <c r="E6" s="380">
        <f>SUM(E7:E22)</f>
        <v>546028.9979578125</v>
      </c>
    </row>
    <row r="7" spans="1:5" s="379" customFormat="1" ht="49.5" customHeight="1">
      <c r="A7" s="381" t="s">
        <v>571</v>
      </c>
      <c r="B7" s="382">
        <v>380000</v>
      </c>
      <c r="C7" s="382">
        <v>436650</v>
      </c>
      <c r="D7" s="382">
        <v>380000</v>
      </c>
      <c r="E7" s="382">
        <v>380000</v>
      </c>
    </row>
    <row r="8" spans="1:5" s="379" customFormat="1" ht="45" customHeight="1">
      <c r="A8" s="381" t="s">
        <v>572</v>
      </c>
      <c r="B8" s="382">
        <v>480</v>
      </c>
      <c r="C8" s="383">
        <v>480</v>
      </c>
      <c r="D8" s="383">
        <v>480</v>
      </c>
      <c r="E8" s="383">
        <v>480</v>
      </c>
    </row>
    <row r="9" spans="1:5" s="379" customFormat="1" ht="49.5" customHeight="1">
      <c r="A9" s="381" t="s">
        <v>573</v>
      </c>
      <c r="B9" s="382">
        <v>63350</v>
      </c>
      <c r="C9" s="384">
        <v>63350</v>
      </c>
      <c r="D9" s="382">
        <v>65040</v>
      </c>
      <c r="E9" s="382">
        <v>66180</v>
      </c>
    </row>
    <row r="10" spans="1:5" s="379" customFormat="1" ht="45" customHeight="1">
      <c r="A10" s="381" t="s">
        <v>574</v>
      </c>
      <c r="B10" s="382">
        <v>6500</v>
      </c>
      <c r="C10" s="382">
        <v>6975</v>
      </c>
      <c r="D10" s="382">
        <f>+C10*1.055</f>
        <v>7358.625</v>
      </c>
      <c r="E10" s="382">
        <f>+D10*1.035</f>
        <v>7616.176874999999</v>
      </c>
    </row>
    <row r="11" spans="1:5" s="379" customFormat="1" ht="45" customHeight="1">
      <c r="A11" s="381" t="s">
        <v>575</v>
      </c>
      <c r="B11" s="382">
        <v>150</v>
      </c>
      <c r="C11" s="382">
        <v>150</v>
      </c>
      <c r="D11" s="382">
        <v>150</v>
      </c>
      <c r="E11" s="382">
        <v>150</v>
      </c>
    </row>
    <row r="12" spans="1:5" s="379" customFormat="1" ht="45" customHeight="1">
      <c r="A12" s="381" t="s">
        <v>576</v>
      </c>
      <c r="B12" s="382">
        <v>3100</v>
      </c>
      <c r="C12" s="382">
        <v>4000</v>
      </c>
      <c r="D12" s="382">
        <v>4000</v>
      </c>
      <c r="E12" s="382">
        <v>4000</v>
      </c>
    </row>
    <row r="13" spans="1:5" s="379" customFormat="1" ht="49.5" customHeight="1">
      <c r="A13" s="381" t="s">
        <v>577</v>
      </c>
      <c r="B13" s="382">
        <v>13250</v>
      </c>
      <c r="C13" s="382">
        <v>14324</v>
      </c>
      <c r="D13" s="382">
        <f>+C13*1.055</f>
        <v>15111.82</v>
      </c>
      <c r="E13" s="382">
        <f>+D13*1.035</f>
        <v>15640.733699999999</v>
      </c>
    </row>
    <row r="14" spans="1:5" s="379" customFormat="1" ht="49.5" customHeight="1">
      <c r="A14" s="381" t="s">
        <v>578</v>
      </c>
      <c r="B14" s="382">
        <v>25000</v>
      </c>
      <c r="C14" s="382">
        <v>30000</v>
      </c>
      <c r="D14" s="382">
        <v>30000</v>
      </c>
      <c r="E14" s="385" t="s">
        <v>525</v>
      </c>
    </row>
    <row r="15" spans="1:5" s="379" customFormat="1" ht="49.5" customHeight="1">
      <c r="A15" s="381" t="s">
        <v>579</v>
      </c>
      <c r="B15" s="382">
        <v>10000</v>
      </c>
      <c r="C15" s="382">
        <v>10000</v>
      </c>
      <c r="D15" s="382">
        <v>10000</v>
      </c>
      <c r="E15" s="382">
        <v>10000</v>
      </c>
    </row>
    <row r="16" spans="1:5" s="379" customFormat="1" ht="49.5" customHeight="1">
      <c r="A16" s="381" t="s">
        <v>580</v>
      </c>
      <c r="B16" s="382">
        <v>10000</v>
      </c>
      <c r="C16" s="382">
        <v>10000</v>
      </c>
      <c r="D16" s="383" t="s">
        <v>52</v>
      </c>
      <c r="E16" s="383" t="s">
        <v>525</v>
      </c>
    </row>
    <row r="17" spans="1:5" s="379" customFormat="1" ht="45" customHeight="1">
      <c r="A17" s="381" t="s">
        <v>581</v>
      </c>
      <c r="B17" s="382">
        <v>17500</v>
      </c>
      <c r="C17" s="382">
        <v>20225</v>
      </c>
      <c r="D17" s="382">
        <f>+C17*(1+0.055*0.75)</f>
        <v>21059.28125</v>
      </c>
      <c r="E17" s="382">
        <f>+D17*(1+0.035*0.75)</f>
        <v>21612.0873828125</v>
      </c>
    </row>
    <row r="18" spans="1:5" s="379" customFormat="1" ht="45" customHeight="1">
      <c r="A18" s="381" t="s">
        <v>582</v>
      </c>
      <c r="B18" s="382">
        <v>5500</v>
      </c>
      <c r="C18" s="382">
        <v>5846</v>
      </c>
      <c r="D18" s="382">
        <v>5850</v>
      </c>
      <c r="E18" s="382">
        <v>5850</v>
      </c>
    </row>
    <row r="19" spans="1:5" s="379" customFormat="1" ht="49.5" customHeight="1">
      <c r="A19" s="381" t="s">
        <v>583</v>
      </c>
      <c r="B19" s="382">
        <v>22000</v>
      </c>
      <c r="C19" s="382">
        <v>20000</v>
      </c>
      <c r="D19" s="382">
        <v>15000</v>
      </c>
      <c r="E19" s="382">
        <v>15000</v>
      </c>
    </row>
    <row r="20" spans="1:5" s="379" customFormat="1" ht="45" customHeight="1">
      <c r="A20" s="381" t="s">
        <v>584</v>
      </c>
      <c r="B20" s="382">
        <v>1183</v>
      </c>
      <c r="C20" s="382">
        <v>1500</v>
      </c>
      <c r="D20" s="382">
        <v>1500</v>
      </c>
      <c r="E20" s="382">
        <v>1500</v>
      </c>
    </row>
    <row r="21" spans="1:5" s="379" customFormat="1" ht="49.5" customHeight="1">
      <c r="A21" s="381" t="s">
        <v>585</v>
      </c>
      <c r="B21" s="382">
        <v>5000</v>
      </c>
      <c r="C21" s="382">
        <v>5000</v>
      </c>
      <c r="D21" s="383">
        <v>5000</v>
      </c>
      <c r="E21" s="383">
        <v>5000</v>
      </c>
    </row>
    <row r="22" spans="1:5" s="379" customFormat="1" ht="49.5" customHeight="1">
      <c r="A22" s="381" t="s">
        <v>586</v>
      </c>
      <c r="B22" s="382">
        <v>8926</v>
      </c>
      <c r="C22" s="382">
        <v>13000</v>
      </c>
      <c r="D22" s="382">
        <v>13000</v>
      </c>
      <c r="E22" s="382">
        <v>13000</v>
      </c>
    </row>
    <row r="23" spans="1:5" s="379" customFormat="1" ht="30" customHeight="1">
      <c r="A23" s="377" t="s">
        <v>587</v>
      </c>
      <c r="B23" s="380">
        <f>SUM(B24:B25)</f>
        <v>78084</v>
      </c>
      <c r="C23" s="380">
        <f>SUM(C24:C25)</f>
        <v>171605</v>
      </c>
      <c r="D23" s="380">
        <f>SUM(D24:D25)</f>
        <v>90602</v>
      </c>
      <c r="E23" s="380">
        <f>SUM(E24:E25)</f>
        <v>80352</v>
      </c>
    </row>
    <row r="24" spans="1:5" s="379" customFormat="1" ht="49.5" customHeight="1">
      <c r="A24" s="381" t="s">
        <v>588</v>
      </c>
      <c r="B24" s="386">
        <v>20594</v>
      </c>
      <c r="C24" s="386">
        <v>87057</v>
      </c>
      <c r="D24" s="387">
        <v>80352</v>
      </c>
      <c r="E24" s="387">
        <v>80352</v>
      </c>
    </row>
    <row r="25" spans="1:5" s="379" customFormat="1" ht="49.5" customHeight="1">
      <c r="A25" s="381" t="s">
        <v>589</v>
      </c>
      <c r="B25" s="386">
        <v>57490</v>
      </c>
      <c r="C25" s="386">
        <v>84548</v>
      </c>
      <c r="D25" s="387">
        <v>10250</v>
      </c>
      <c r="E25" s="387"/>
    </row>
    <row r="26" spans="1:5" s="379" customFormat="1" ht="30" customHeight="1">
      <c r="A26" s="377" t="s">
        <v>590</v>
      </c>
      <c r="B26" s="380">
        <f>SUM(B27:B29)</f>
        <v>914100</v>
      </c>
      <c r="C26" s="380">
        <f>SUM(C27:C29)</f>
        <v>557466</v>
      </c>
      <c r="D26" s="380">
        <f>SUM(D27:D29)</f>
        <v>802038</v>
      </c>
      <c r="E26" s="380">
        <f>SUM(E27:E29)</f>
        <v>794276</v>
      </c>
    </row>
    <row r="27" spans="1:5" s="379" customFormat="1" ht="49.5" customHeight="1">
      <c r="A27" s="381" t="s">
        <v>591</v>
      </c>
      <c r="B27" s="382">
        <v>33489</v>
      </c>
      <c r="C27" s="386">
        <v>24545</v>
      </c>
      <c r="D27" s="386">
        <v>24500</v>
      </c>
      <c r="E27" s="386">
        <v>19500</v>
      </c>
    </row>
    <row r="28" spans="1:5" s="379" customFormat="1" ht="49.5" customHeight="1">
      <c r="A28" s="381" t="s">
        <v>590</v>
      </c>
      <c r="B28" s="382">
        <f>333928+138424+227004+181255</f>
        <v>880611</v>
      </c>
      <c r="C28" s="382">
        <v>532921</v>
      </c>
      <c r="D28" s="386">
        <v>741538</v>
      </c>
      <c r="E28" s="386">
        <v>774776</v>
      </c>
    </row>
    <row r="29" spans="1:5" s="379" customFormat="1" ht="68.25" customHeight="1">
      <c r="A29" s="381" t="s">
        <v>592</v>
      </c>
      <c r="B29" s="383" t="s">
        <v>525</v>
      </c>
      <c r="C29" s="383" t="s">
        <v>525</v>
      </c>
      <c r="D29" s="382">
        <v>36000</v>
      </c>
      <c r="E29" s="383" t="s">
        <v>525</v>
      </c>
    </row>
    <row r="30" spans="1:5" s="390" customFormat="1" ht="49.5" customHeight="1">
      <c r="A30" s="388" t="s">
        <v>593</v>
      </c>
      <c r="B30" s="389">
        <f>+B26+B23+B6+B4</f>
        <v>1693705</v>
      </c>
      <c r="C30" s="389">
        <f>+C26+C23+C6+C4</f>
        <v>1512027</v>
      </c>
      <c r="D30" s="389">
        <f>+D26+D23+D6+D4</f>
        <v>1615425.8062500001</v>
      </c>
      <c r="E30" s="389">
        <f>+E26+E23+E6+E4</f>
        <v>1575116.3407578126</v>
      </c>
    </row>
    <row r="31" spans="1:5" s="392" customFormat="1" ht="99.75" customHeight="1">
      <c r="A31" s="391" t="s">
        <v>594</v>
      </c>
      <c r="B31" s="391"/>
      <c r="C31" s="391"/>
      <c r="D31" s="391"/>
      <c r="E31" s="391"/>
    </row>
    <row r="32" spans="1:5" s="392" customFormat="1" ht="89.25" customHeight="1">
      <c r="A32" s="393" t="s">
        <v>595</v>
      </c>
      <c r="B32" s="393"/>
      <c r="C32" s="393"/>
      <c r="D32" s="393"/>
      <c r="E32" s="393"/>
    </row>
    <row r="33" spans="1:5" s="392" customFormat="1" ht="51.75" customHeight="1">
      <c r="A33" s="393" t="s">
        <v>596</v>
      </c>
      <c r="B33" s="393"/>
      <c r="C33" s="393"/>
      <c r="D33" s="393"/>
      <c r="E33" s="393"/>
    </row>
    <row r="34" spans="1:3" ht="19.5" customHeight="1">
      <c r="A34" s="394"/>
      <c r="B34" s="395"/>
      <c r="C34" s="395"/>
    </row>
    <row r="35" spans="1:3" ht="19.5" customHeight="1">
      <c r="A35" s="394"/>
      <c r="B35" s="395"/>
      <c r="C35" s="395"/>
    </row>
    <row r="36" spans="1:3" ht="19.5" customHeight="1">
      <c r="A36" s="394"/>
      <c r="B36" s="395"/>
      <c r="C36" s="395"/>
    </row>
    <row r="37" spans="1:3" ht="19.5" customHeight="1">
      <c r="A37" s="394"/>
      <c r="B37" s="395"/>
      <c r="C37" s="395"/>
    </row>
    <row r="38" spans="1:3" ht="19.5" customHeight="1">
      <c r="A38" s="394"/>
      <c r="B38" s="395"/>
      <c r="C38" s="395"/>
    </row>
    <row r="40" spans="2:3" s="394" customFormat="1" ht="19.5" customHeight="1">
      <c r="B40" s="395"/>
      <c r="C40" s="395"/>
    </row>
    <row r="41" spans="2:3" s="394" customFormat="1" ht="19.5" customHeight="1">
      <c r="B41" s="395"/>
      <c r="C41" s="395"/>
    </row>
    <row r="42" spans="2:3" s="394" customFormat="1" ht="19.5" customHeight="1">
      <c r="B42" s="395"/>
      <c r="C42" s="395"/>
    </row>
    <row r="43" spans="2:3" s="394" customFormat="1" ht="19.5" customHeight="1">
      <c r="B43" s="395"/>
      <c r="C43" s="395"/>
    </row>
    <row r="44" spans="2:3" s="394" customFormat="1" ht="19.5" customHeight="1">
      <c r="B44" s="395"/>
      <c r="C44" s="395"/>
    </row>
    <row r="45" spans="2:3" s="394" customFormat="1" ht="19.5" customHeight="1">
      <c r="B45" s="395"/>
      <c r="C45" s="395"/>
    </row>
    <row r="46" spans="2:3" s="394" customFormat="1" ht="19.5" customHeight="1">
      <c r="B46" s="395"/>
      <c r="C46" s="395"/>
    </row>
    <row r="47" spans="2:3" s="394" customFormat="1" ht="19.5" customHeight="1">
      <c r="B47" s="395"/>
      <c r="C47" s="395"/>
    </row>
    <row r="48" spans="2:3" s="394" customFormat="1" ht="19.5" customHeight="1">
      <c r="B48" s="395"/>
      <c r="C48" s="395"/>
    </row>
    <row r="49" spans="2:3" s="394" customFormat="1" ht="19.5" customHeight="1">
      <c r="B49" s="395"/>
      <c r="C49" s="395"/>
    </row>
    <row r="50" spans="2:3" s="394" customFormat="1" ht="19.5" customHeight="1">
      <c r="B50" s="395"/>
      <c r="C50" s="395"/>
    </row>
    <row r="51" spans="2:3" s="394" customFormat="1" ht="19.5" customHeight="1">
      <c r="B51" s="395"/>
      <c r="C51" s="395"/>
    </row>
    <row r="52" spans="2:3" s="394" customFormat="1" ht="19.5" customHeight="1">
      <c r="B52" s="395"/>
      <c r="C52" s="395"/>
    </row>
    <row r="53" spans="2:3" s="394" customFormat="1" ht="19.5" customHeight="1">
      <c r="B53" s="395"/>
      <c r="C53" s="395"/>
    </row>
    <row r="54" spans="2:3" s="394" customFormat="1" ht="19.5" customHeight="1">
      <c r="B54" s="395"/>
      <c r="C54" s="395"/>
    </row>
    <row r="55" spans="2:3" s="394" customFormat="1" ht="19.5" customHeight="1">
      <c r="B55" s="395"/>
      <c r="C55" s="395"/>
    </row>
    <row r="56" spans="2:3" s="394" customFormat="1" ht="19.5" customHeight="1">
      <c r="B56" s="395"/>
      <c r="C56" s="395"/>
    </row>
    <row r="57" spans="2:3" s="394" customFormat="1" ht="19.5" customHeight="1">
      <c r="B57" s="395"/>
      <c r="C57" s="395"/>
    </row>
    <row r="58" spans="2:3" s="394" customFormat="1" ht="19.5" customHeight="1">
      <c r="B58" s="395"/>
      <c r="C58" s="395"/>
    </row>
    <row r="59" spans="2:3" s="394" customFormat="1" ht="19.5" customHeight="1">
      <c r="B59" s="395"/>
      <c r="C59" s="395"/>
    </row>
    <row r="60" spans="2:3" s="394" customFormat="1" ht="19.5" customHeight="1">
      <c r="B60" s="395"/>
      <c r="C60" s="395"/>
    </row>
    <row r="61" spans="2:3" s="394" customFormat="1" ht="19.5" customHeight="1">
      <c r="B61" s="395"/>
      <c r="C61" s="395"/>
    </row>
    <row r="62" spans="2:3" s="394" customFormat="1" ht="19.5" customHeight="1">
      <c r="B62" s="395"/>
      <c r="C62" s="395"/>
    </row>
    <row r="63" spans="2:3" s="394" customFormat="1" ht="19.5" customHeight="1">
      <c r="B63" s="395"/>
      <c r="C63" s="395"/>
    </row>
    <row r="64" spans="2:3" s="394" customFormat="1" ht="19.5" customHeight="1">
      <c r="B64" s="395"/>
      <c r="C64" s="395"/>
    </row>
    <row r="65" spans="2:3" s="394" customFormat="1" ht="19.5" customHeight="1">
      <c r="B65" s="395"/>
      <c r="C65" s="395"/>
    </row>
    <row r="66" spans="2:3" s="394" customFormat="1" ht="19.5" customHeight="1">
      <c r="B66" s="395"/>
      <c r="C66" s="395"/>
    </row>
    <row r="67" spans="2:3" s="394" customFormat="1" ht="19.5" customHeight="1">
      <c r="B67" s="395"/>
      <c r="C67" s="395"/>
    </row>
    <row r="68" spans="2:3" s="394" customFormat="1" ht="19.5" customHeight="1">
      <c r="B68" s="395"/>
      <c r="C68" s="395"/>
    </row>
    <row r="69" spans="2:3" s="394" customFormat="1" ht="19.5" customHeight="1">
      <c r="B69" s="395"/>
      <c r="C69" s="395"/>
    </row>
    <row r="70" spans="2:3" s="394" customFormat="1" ht="19.5" customHeight="1">
      <c r="B70" s="395"/>
      <c r="C70" s="395"/>
    </row>
    <row r="71" spans="2:3" s="394" customFormat="1" ht="19.5" customHeight="1">
      <c r="B71" s="395"/>
      <c r="C71" s="395"/>
    </row>
    <row r="72" spans="2:3" s="394" customFormat="1" ht="19.5" customHeight="1">
      <c r="B72" s="395"/>
      <c r="C72" s="395"/>
    </row>
    <row r="73" spans="2:3" s="394" customFormat="1" ht="19.5" customHeight="1">
      <c r="B73" s="395"/>
      <c r="C73" s="395"/>
    </row>
    <row r="74" spans="2:3" s="394" customFormat="1" ht="19.5" customHeight="1">
      <c r="B74" s="395"/>
      <c r="C74" s="395"/>
    </row>
    <row r="75" spans="2:3" s="394" customFormat="1" ht="19.5" customHeight="1">
      <c r="B75" s="395"/>
      <c r="C75" s="395"/>
    </row>
    <row r="76" spans="2:3" s="394" customFormat="1" ht="19.5" customHeight="1">
      <c r="B76" s="395"/>
      <c r="C76" s="395"/>
    </row>
    <row r="77" spans="2:3" s="394" customFormat="1" ht="19.5" customHeight="1">
      <c r="B77" s="395"/>
      <c r="C77" s="395"/>
    </row>
    <row r="78" spans="2:3" s="394" customFormat="1" ht="19.5" customHeight="1">
      <c r="B78" s="395"/>
      <c r="C78" s="395"/>
    </row>
    <row r="79" spans="2:3" s="394" customFormat="1" ht="19.5" customHeight="1">
      <c r="B79" s="395"/>
      <c r="C79" s="395"/>
    </row>
    <row r="80" spans="2:3" s="394" customFormat="1" ht="19.5" customHeight="1">
      <c r="B80" s="395"/>
      <c r="C80" s="395"/>
    </row>
    <row r="81" spans="2:3" s="394" customFormat="1" ht="19.5" customHeight="1">
      <c r="B81" s="395"/>
      <c r="C81" s="395"/>
    </row>
    <row r="82" spans="2:3" s="394" customFormat="1" ht="19.5" customHeight="1">
      <c r="B82" s="395"/>
      <c r="C82" s="395"/>
    </row>
    <row r="83" spans="2:3" s="394" customFormat="1" ht="19.5" customHeight="1">
      <c r="B83" s="395"/>
      <c r="C83" s="395"/>
    </row>
    <row r="84" spans="2:3" s="394" customFormat="1" ht="19.5" customHeight="1">
      <c r="B84" s="395"/>
      <c r="C84" s="395"/>
    </row>
    <row r="85" spans="2:3" s="394" customFormat="1" ht="19.5" customHeight="1">
      <c r="B85" s="395"/>
      <c r="C85" s="395"/>
    </row>
    <row r="86" spans="2:3" s="394" customFormat="1" ht="19.5" customHeight="1">
      <c r="B86" s="395"/>
      <c r="C86" s="395"/>
    </row>
    <row r="87" spans="2:3" s="394" customFormat="1" ht="19.5" customHeight="1">
      <c r="B87" s="395"/>
      <c r="C87" s="395"/>
    </row>
    <row r="88" spans="2:3" s="394" customFormat="1" ht="19.5" customHeight="1">
      <c r="B88" s="395"/>
      <c r="C88" s="395"/>
    </row>
    <row r="89" spans="2:3" s="394" customFormat="1" ht="19.5" customHeight="1">
      <c r="B89" s="395"/>
      <c r="C89" s="395"/>
    </row>
    <row r="90" spans="2:3" s="394" customFormat="1" ht="19.5" customHeight="1">
      <c r="B90" s="395"/>
      <c r="C90" s="395"/>
    </row>
    <row r="91" spans="2:3" s="394" customFormat="1" ht="19.5" customHeight="1">
      <c r="B91" s="395"/>
      <c r="C91" s="395"/>
    </row>
    <row r="92" spans="2:3" s="394" customFormat="1" ht="19.5" customHeight="1">
      <c r="B92" s="395"/>
      <c r="C92" s="395"/>
    </row>
    <row r="93" spans="2:3" s="394" customFormat="1" ht="19.5" customHeight="1">
      <c r="B93" s="395"/>
      <c r="C93" s="395"/>
    </row>
    <row r="94" spans="2:3" s="394" customFormat="1" ht="19.5" customHeight="1">
      <c r="B94" s="395"/>
      <c r="C94" s="395"/>
    </row>
    <row r="95" spans="2:3" s="394" customFormat="1" ht="19.5" customHeight="1">
      <c r="B95" s="395"/>
      <c r="C95" s="395"/>
    </row>
    <row r="96" spans="2:3" s="394" customFormat="1" ht="19.5" customHeight="1">
      <c r="B96" s="395"/>
      <c r="C96" s="395"/>
    </row>
    <row r="97" spans="2:3" s="394" customFormat="1" ht="19.5" customHeight="1">
      <c r="B97" s="395"/>
      <c r="C97" s="395"/>
    </row>
    <row r="98" spans="2:3" s="394" customFormat="1" ht="19.5" customHeight="1">
      <c r="B98" s="395"/>
      <c r="C98" s="395"/>
    </row>
    <row r="99" spans="2:3" s="394" customFormat="1" ht="19.5" customHeight="1">
      <c r="B99" s="395"/>
      <c r="C99" s="395"/>
    </row>
    <row r="100" spans="2:3" s="394" customFormat="1" ht="19.5" customHeight="1">
      <c r="B100" s="395"/>
      <c r="C100" s="395"/>
    </row>
    <row r="101" spans="2:3" s="394" customFormat="1" ht="19.5" customHeight="1">
      <c r="B101" s="395"/>
      <c r="C101" s="395"/>
    </row>
    <row r="102" spans="2:3" s="394" customFormat="1" ht="19.5" customHeight="1">
      <c r="B102" s="395"/>
      <c r="C102" s="395"/>
    </row>
    <row r="103" spans="2:3" s="394" customFormat="1" ht="19.5" customHeight="1">
      <c r="B103" s="395"/>
      <c r="C103" s="395"/>
    </row>
    <row r="104" spans="2:3" s="394" customFormat="1" ht="19.5" customHeight="1">
      <c r="B104" s="395"/>
      <c r="C104" s="395"/>
    </row>
    <row r="105" spans="2:3" s="394" customFormat="1" ht="19.5" customHeight="1">
      <c r="B105" s="395"/>
      <c r="C105" s="395"/>
    </row>
    <row r="106" spans="2:3" s="394" customFormat="1" ht="19.5" customHeight="1">
      <c r="B106" s="395"/>
      <c r="C106" s="395"/>
    </row>
    <row r="107" spans="2:3" s="394" customFormat="1" ht="19.5" customHeight="1">
      <c r="B107" s="395"/>
      <c r="C107" s="395"/>
    </row>
    <row r="108" spans="2:3" s="394" customFormat="1" ht="19.5" customHeight="1">
      <c r="B108" s="395"/>
      <c r="C108" s="395"/>
    </row>
    <row r="109" spans="2:3" s="394" customFormat="1" ht="19.5" customHeight="1">
      <c r="B109" s="395"/>
      <c r="C109" s="395"/>
    </row>
    <row r="110" spans="2:3" s="394" customFormat="1" ht="19.5" customHeight="1">
      <c r="B110" s="395"/>
      <c r="C110" s="395"/>
    </row>
    <row r="111" spans="2:3" s="394" customFormat="1" ht="19.5" customHeight="1">
      <c r="B111" s="395"/>
      <c r="C111" s="395"/>
    </row>
    <row r="112" spans="2:3" s="394" customFormat="1" ht="19.5" customHeight="1">
      <c r="B112" s="395"/>
      <c r="C112" s="395"/>
    </row>
    <row r="113" spans="2:3" s="394" customFormat="1" ht="19.5" customHeight="1">
      <c r="B113" s="395"/>
      <c r="C113" s="395"/>
    </row>
    <row r="114" spans="2:3" s="394" customFormat="1" ht="19.5" customHeight="1">
      <c r="B114" s="395"/>
      <c r="C114" s="395"/>
    </row>
    <row r="115" spans="2:3" s="394" customFormat="1" ht="19.5" customHeight="1">
      <c r="B115" s="395"/>
      <c r="C115" s="395"/>
    </row>
    <row r="116" spans="2:3" s="394" customFormat="1" ht="19.5" customHeight="1">
      <c r="B116" s="395"/>
      <c r="C116" s="395"/>
    </row>
    <row r="117" spans="2:3" s="394" customFormat="1" ht="19.5" customHeight="1">
      <c r="B117" s="395"/>
      <c r="C117" s="395"/>
    </row>
    <row r="118" spans="2:3" s="394" customFormat="1" ht="19.5" customHeight="1">
      <c r="B118" s="395"/>
      <c r="C118" s="395"/>
    </row>
  </sheetData>
  <sheetProtection selectLockedCells="1" selectUnlockedCells="1"/>
  <mergeCells count="3">
    <mergeCell ref="A31:E31"/>
    <mergeCell ref="A32:E32"/>
    <mergeCell ref="A33:E33"/>
  </mergeCells>
  <printOptions horizontalCentered="1" verticalCentered="1"/>
  <pageMargins left="0.2361111111111111" right="0.27569444444444446" top="0.7083333333333333" bottom="0.4722222222222222" header="0.2361111111111111" footer="0.5118055555555555"/>
  <pageSetup horizontalDpi="300" verticalDpi="300" orientation="portrait" paperSize="9" scale="90"/>
  <headerFooter alignWithMargins="0">
    <oddHeader>&amp;C&amp;"Arial CE,Félkövér"Több éves kihatással járó döntések számszerűsítése 
évenkénti bontásban és összesítve &amp;R&amp;"Arial,Normál"7. számú táblázat
adatok E Ft-ban</oddHeader>
  </headerFooter>
  <rowBreaks count="1" manualBreakCount="1">
    <brk id="19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V267"/>
  <sheetViews>
    <sheetView zoomScaleSheetLayoutView="100" workbookViewId="0" topLeftCell="A227">
      <selection activeCell="H23" sqref="H23"/>
    </sheetView>
  </sheetViews>
  <sheetFormatPr defaultColWidth="12.57421875" defaultRowHeight="15"/>
  <cols>
    <col min="1" max="1" width="42.7109375" style="396" customWidth="1"/>
    <col min="2" max="2" width="13.140625" style="397" customWidth="1"/>
    <col min="3" max="3" width="14.28125" style="397" customWidth="1"/>
    <col min="4" max="4" width="11.7109375" style="397" customWidth="1"/>
    <col min="5" max="5" width="12.7109375" style="397" customWidth="1"/>
    <col min="6" max="16384" width="11.7109375" style="398" customWidth="1"/>
  </cols>
  <sheetData>
    <row r="1" spans="1:6" s="400" customFormat="1" ht="54" customHeight="1">
      <c r="A1" s="399" t="s">
        <v>597</v>
      </c>
      <c r="B1" s="399"/>
      <c r="C1" s="399"/>
      <c r="D1" s="399"/>
      <c r="E1" s="399"/>
      <c r="F1" s="398"/>
    </row>
    <row r="2" spans="1:6" s="400" customFormat="1" ht="36.75">
      <c r="A2" s="400" t="s">
        <v>329</v>
      </c>
      <c r="B2" s="401" t="s">
        <v>598</v>
      </c>
      <c r="C2" s="401" t="s">
        <v>599</v>
      </c>
      <c r="D2" s="401" t="s">
        <v>600</v>
      </c>
      <c r="E2" s="401" t="s">
        <v>601</v>
      </c>
      <c r="F2" s="398"/>
    </row>
    <row r="3" spans="1:4" ht="14.25">
      <c r="A3" s="396" t="s">
        <v>42</v>
      </c>
      <c r="B3" s="397">
        <v>278800</v>
      </c>
      <c r="C3" s="397">
        <v>192553</v>
      </c>
      <c r="D3" s="397">
        <f>+B3-C3</f>
        <v>86247</v>
      </c>
    </row>
    <row r="4" spans="1:3" ht="14.25">
      <c r="A4" s="396" t="s">
        <v>44</v>
      </c>
      <c r="C4" s="397">
        <v>0</v>
      </c>
    </row>
    <row r="5" spans="1:4" ht="24.75">
      <c r="A5" s="396" t="s">
        <v>602</v>
      </c>
      <c r="B5" s="402" t="s">
        <v>603</v>
      </c>
      <c r="C5" s="402" t="s">
        <v>604</v>
      </c>
      <c r="D5" s="402" t="s">
        <v>605</v>
      </c>
    </row>
    <row r="6" spans="1:3" ht="14.25">
      <c r="A6" s="396" t="s">
        <v>606</v>
      </c>
      <c r="C6" s="397">
        <v>0</v>
      </c>
    </row>
    <row r="7" spans="1:3" ht="14.25">
      <c r="A7" s="396" t="s">
        <v>607</v>
      </c>
      <c r="C7" s="397">
        <v>0</v>
      </c>
    </row>
    <row r="8" spans="1:3" ht="14.25">
      <c r="A8" s="396" t="s">
        <v>608</v>
      </c>
      <c r="C8" s="397">
        <v>0</v>
      </c>
    </row>
    <row r="9" spans="1:3" ht="14.25">
      <c r="A9" s="396" t="s">
        <v>609</v>
      </c>
      <c r="C9" s="397">
        <v>0</v>
      </c>
    </row>
    <row r="10" spans="1:6" s="404" customFormat="1" ht="22.5" customHeight="1">
      <c r="A10" s="400" t="s">
        <v>610</v>
      </c>
      <c r="B10" s="403">
        <f>SUM(B3:B9)</f>
        <v>278800</v>
      </c>
      <c r="C10" s="403">
        <f>SUM(C3:C9)</f>
        <v>192553</v>
      </c>
      <c r="D10" s="403">
        <f>SUM(D3:D9)</f>
        <v>86247</v>
      </c>
      <c r="E10" s="403">
        <f>SUM(E3:E9)</f>
        <v>0</v>
      </c>
      <c r="F10" s="398"/>
    </row>
    <row r="11" spans="1:4" ht="14.25">
      <c r="A11" s="396" t="s">
        <v>611</v>
      </c>
      <c r="B11" s="397">
        <v>123578</v>
      </c>
      <c r="C11" s="405">
        <f>18286+30895</f>
        <v>49181</v>
      </c>
      <c r="D11" s="405">
        <f>+B11-C11</f>
        <v>74397</v>
      </c>
    </row>
    <row r="12" spans="1:4" ht="14.25">
      <c r="A12" s="406" t="s">
        <v>612</v>
      </c>
      <c r="B12" s="397">
        <v>85522</v>
      </c>
      <c r="C12" s="405">
        <f>12654+21380</f>
        <v>34034</v>
      </c>
      <c r="D12" s="405">
        <f>+B12-C12</f>
        <v>51488</v>
      </c>
    </row>
    <row r="13" spans="1:4" ht="14.25">
      <c r="A13" s="406" t="s">
        <v>613</v>
      </c>
      <c r="B13" s="397">
        <v>41820</v>
      </c>
      <c r="C13" s="397">
        <v>6188</v>
      </c>
      <c r="D13" s="405">
        <f>+B13-C13</f>
        <v>35632</v>
      </c>
    </row>
    <row r="14" spans="1:4" ht="14.25">
      <c r="A14" s="396" t="s">
        <v>614</v>
      </c>
      <c r="B14" s="397">
        <v>27880</v>
      </c>
      <c r="C14" s="397">
        <v>103150</v>
      </c>
      <c r="D14" s="405">
        <f>+B14-C14</f>
        <v>-75270</v>
      </c>
    </row>
    <row r="15" spans="1:6" s="404" customFormat="1" ht="22.5" customHeight="1">
      <c r="A15" s="400" t="s">
        <v>615</v>
      </c>
      <c r="B15" s="403">
        <f>SUM(B11:B14)</f>
        <v>278800</v>
      </c>
      <c r="C15" s="403">
        <f>SUM(C11:C14)</f>
        <v>192553</v>
      </c>
      <c r="D15" s="403">
        <f>SUM(D11:D14)</f>
        <v>86247</v>
      </c>
      <c r="E15" s="407">
        <f>SUM(E11:E14)</f>
        <v>0</v>
      </c>
      <c r="F15" s="398"/>
    </row>
    <row r="16" spans="1:6" s="404" customFormat="1" ht="37.5" customHeight="1">
      <c r="A16" s="408" t="s">
        <v>616</v>
      </c>
      <c r="B16" s="403">
        <v>11968</v>
      </c>
      <c r="C16" s="409">
        <f>2488+4140+1200</f>
        <v>7828</v>
      </c>
      <c r="D16" s="409">
        <f>+B16-C16</f>
        <v>4140</v>
      </c>
      <c r="E16" s="409">
        <v>0</v>
      </c>
      <c r="F16" s="398"/>
    </row>
    <row r="17" spans="1:6" s="400" customFormat="1" ht="54" customHeight="1">
      <c r="A17" s="399" t="s">
        <v>617</v>
      </c>
      <c r="B17" s="399"/>
      <c r="C17" s="399"/>
      <c r="D17" s="399"/>
      <c r="E17" s="399"/>
      <c r="F17" s="398"/>
    </row>
    <row r="18" spans="1:6" s="400" customFormat="1" ht="36.75">
      <c r="A18" s="400" t="s">
        <v>329</v>
      </c>
      <c r="B18" s="401" t="s">
        <v>598</v>
      </c>
      <c r="C18" s="401" t="s">
        <v>599</v>
      </c>
      <c r="D18" s="401" t="s">
        <v>600</v>
      </c>
      <c r="E18" s="401" t="s">
        <v>601</v>
      </c>
      <c r="F18" s="398"/>
    </row>
    <row r="19" spans="1:3" ht="14.25">
      <c r="A19" s="396" t="s">
        <v>42</v>
      </c>
      <c r="B19" s="397">
        <v>639000</v>
      </c>
      <c r="C19" s="397">
        <f>2750+519635+116615</f>
        <v>639000</v>
      </c>
    </row>
    <row r="20" spans="1:2" ht="14.25">
      <c r="A20" s="396" t="s">
        <v>44</v>
      </c>
      <c r="B20" s="397">
        <v>0</v>
      </c>
    </row>
    <row r="21" spans="1:2" ht="14.25">
      <c r="A21" s="396" t="s">
        <v>606</v>
      </c>
      <c r="B21" s="397">
        <f>SUM(D21:E21)</f>
        <v>0</v>
      </c>
    </row>
    <row r="22" spans="1:2" ht="14.25">
      <c r="A22" s="396" t="s">
        <v>607</v>
      </c>
      <c r="B22" s="397">
        <v>0</v>
      </c>
    </row>
    <row r="23" spans="1:2" ht="14.25">
      <c r="A23" s="396" t="s">
        <v>608</v>
      </c>
      <c r="B23" s="397">
        <v>0</v>
      </c>
    </row>
    <row r="24" spans="1:2" ht="14.25">
      <c r="A24" s="396" t="s">
        <v>609</v>
      </c>
      <c r="B24" s="397">
        <v>0</v>
      </c>
    </row>
    <row r="25" spans="1:6" s="404" customFormat="1" ht="22.5" customHeight="1">
      <c r="A25" s="400" t="s">
        <v>610</v>
      </c>
      <c r="B25" s="403">
        <f>SUM(B19:B24)</f>
        <v>639000</v>
      </c>
      <c r="C25" s="403">
        <f>SUM(C19:C24)</f>
        <v>639000</v>
      </c>
      <c r="D25" s="403">
        <f>SUM(D19:D24)</f>
        <v>0</v>
      </c>
      <c r="E25" s="403">
        <f>SUM(E19:E24)</f>
        <v>0</v>
      </c>
      <c r="F25" s="398"/>
    </row>
    <row r="26" spans="1:3" ht="14.25">
      <c r="A26" s="396" t="s">
        <v>611</v>
      </c>
      <c r="B26" s="397">
        <v>405000</v>
      </c>
      <c r="C26" s="405">
        <f>40500+239501+124999</f>
        <v>405000</v>
      </c>
    </row>
    <row r="27" spans="1:3" ht="14.25">
      <c r="A27" s="406" t="s">
        <v>612</v>
      </c>
      <c r="B27" s="397">
        <v>135000</v>
      </c>
      <c r="C27" s="405">
        <f>13500+79834+41666</f>
        <v>135000</v>
      </c>
    </row>
    <row r="28" spans="1:4" ht="14.25">
      <c r="A28" s="406" t="s">
        <v>618</v>
      </c>
      <c r="D28" s="405"/>
    </row>
    <row r="29" spans="1:2" ht="14.25">
      <c r="A29" s="406" t="s">
        <v>619</v>
      </c>
      <c r="B29" s="397">
        <v>0</v>
      </c>
    </row>
    <row r="30" spans="1:3" ht="14.25">
      <c r="A30" s="396" t="s">
        <v>620</v>
      </c>
      <c r="B30" s="397">
        <v>99655</v>
      </c>
      <c r="C30" s="397">
        <f>2750+87068</f>
        <v>89818</v>
      </c>
    </row>
    <row r="31" spans="1:3" ht="14.25">
      <c r="A31" s="406" t="s">
        <v>621</v>
      </c>
      <c r="C31" s="397">
        <v>9182</v>
      </c>
    </row>
    <row r="32" spans="1:3" ht="14.25">
      <c r="A32" s="396" t="s">
        <v>622</v>
      </c>
      <c r="B32" s="397">
        <v>0</v>
      </c>
      <c r="C32" s="397">
        <v>0</v>
      </c>
    </row>
    <row r="33" spans="1:6" s="404" customFormat="1" ht="22.5" customHeight="1">
      <c r="A33" s="400" t="s">
        <v>615</v>
      </c>
      <c r="B33" s="403">
        <f>SUM(B26:B32)</f>
        <v>639655</v>
      </c>
      <c r="C33" s="403">
        <f>SUM(C26:C32)</f>
        <v>639000</v>
      </c>
      <c r="D33" s="403">
        <f>SUM(D26:D32)</f>
        <v>0</v>
      </c>
      <c r="E33" s="403">
        <f>SUM(E26:E32)</f>
        <v>0</v>
      </c>
      <c r="F33" s="398"/>
    </row>
    <row r="34" spans="1:6" s="404" customFormat="1" ht="27.75" customHeight="1">
      <c r="A34" s="408" t="s">
        <v>623</v>
      </c>
      <c r="B34" s="403"/>
      <c r="C34" s="403"/>
      <c r="D34" s="403"/>
      <c r="E34" s="403"/>
      <c r="F34" s="398"/>
    </row>
    <row r="35" spans="1:3" ht="14.25">
      <c r="A35" s="406" t="s">
        <v>624</v>
      </c>
      <c r="C35" s="397">
        <f>7827+655</f>
        <v>8482</v>
      </c>
    </row>
    <row r="36" spans="1:5" ht="14.25">
      <c r="A36" s="406" t="s">
        <v>625</v>
      </c>
      <c r="D36" s="397">
        <v>87057</v>
      </c>
      <c r="E36" s="397">
        <f>3*80352</f>
        <v>241056</v>
      </c>
    </row>
    <row r="37" spans="1:4" ht="14.25">
      <c r="A37" s="406" t="s">
        <v>626</v>
      </c>
      <c r="D37" s="397">
        <v>25000</v>
      </c>
    </row>
    <row r="38" spans="1:4" ht="14.25">
      <c r="A38" s="406" t="s">
        <v>627</v>
      </c>
      <c r="D38" s="397">
        <v>50000</v>
      </c>
    </row>
    <row r="39" spans="1:6" s="400" customFormat="1" ht="54" customHeight="1">
      <c r="A39" s="399" t="s">
        <v>628</v>
      </c>
      <c r="B39" s="399"/>
      <c r="C39" s="399"/>
      <c r="D39" s="399"/>
      <c r="E39" s="399"/>
      <c r="F39" s="398"/>
    </row>
    <row r="40" spans="1:6" s="400" customFormat="1" ht="36.75">
      <c r="A40" s="400" t="s">
        <v>329</v>
      </c>
      <c r="B40" s="401" t="s">
        <v>598</v>
      </c>
      <c r="C40" s="401" t="s">
        <v>599</v>
      </c>
      <c r="D40" s="401" t="s">
        <v>600</v>
      </c>
      <c r="E40" s="401" t="s">
        <v>601</v>
      </c>
      <c r="F40" s="398"/>
    </row>
    <row r="41" spans="1:5" ht="14.25">
      <c r="A41" s="396" t="s">
        <v>42</v>
      </c>
      <c r="B41" s="397">
        <f>340795/1.2</f>
        <v>283995.8333333334</v>
      </c>
      <c r="C41" s="397">
        <v>281902</v>
      </c>
      <c r="D41" s="397">
        <v>2095</v>
      </c>
      <c r="E41" s="397">
        <v>0</v>
      </c>
    </row>
    <row r="42" spans="1:3" ht="14.25">
      <c r="A42" s="396" t="s">
        <v>44</v>
      </c>
      <c r="C42" s="397">
        <v>0</v>
      </c>
    </row>
    <row r="43" spans="1:4" ht="24.75">
      <c r="A43" s="396" t="s">
        <v>602</v>
      </c>
      <c r="B43" s="402" t="s">
        <v>629</v>
      </c>
      <c r="C43" s="402" t="s">
        <v>630</v>
      </c>
      <c r="D43" s="397" t="s">
        <v>631</v>
      </c>
    </row>
    <row r="44" spans="1:3" ht="14.25">
      <c r="A44" s="396" t="s">
        <v>607</v>
      </c>
      <c r="C44" s="397">
        <v>0</v>
      </c>
    </row>
    <row r="45" spans="1:3" ht="14.25">
      <c r="A45" s="396" t="s">
        <v>608</v>
      </c>
      <c r="C45" s="397">
        <v>0</v>
      </c>
    </row>
    <row r="46" spans="1:3" ht="14.25">
      <c r="A46" s="396" t="s">
        <v>609</v>
      </c>
      <c r="C46" s="397">
        <v>0</v>
      </c>
    </row>
    <row r="47" spans="1:6" s="404" customFormat="1" ht="22.5" customHeight="1">
      <c r="A47" s="400" t="s">
        <v>610</v>
      </c>
      <c r="B47" s="403">
        <f>SUM(B41:B46)</f>
        <v>283995.8333333334</v>
      </c>
      <c r="C47" s="403">
        <f>SUM(C41:C46)</f>
        <v>281902</v>
      </c>
      <c r="D47" s="403">
        <f>SUM(D41:D46)</f>
        <v>2095</v>
      </c>
      <c r="E47" s="403">
        <f>SUM(E41:E46)</f>
        <v>0</v>
      </c>
      <c r="F47" s="398"/>
    </row>
    <row r="48" spans="1:4" ht="14.25">
      <c r="A48" s="406" t="s">
        <v>632</v>
      </c>
      <c r="B48" s="397">
        <v>212997</v>
      </c>
      <c r="C48" s="397">
        <f>1196+210229</f>
        <v>211425</v>
      </c>
      <c r="D48" s="397">
        <v>1571</v>
      </c>
    </row>
    <row r="49" spans="1:4" ht="14.25">
      <c r="A49" s="406" t="s">
        <v>633</v>
      </c>
      <c r="B49" s="397">
        <v>56799</v>
      </c>
      <c r="C49" s="397">
        <f>319+56061</f>
        <v>56380</v>
      </c>
      <c r="D49" s="397">
        <v>419</v>
      </c>
    </row>
    <row r="50" spans="1:4" ht="14.25">
      <c r="A50" s="406" t="s">
        <v>634</v>
      </c>
      <c r="B50" s="397">
        <v>14200</v>
      </c>
      <c r="C50" s="397">
        <v>14095</v>
      </c>
      <c r="D50" s="397">
        <v>105</v>
      </c>
    </row>
    <row r="51" spans="1:6" s="404" customFormat="1" ht="22.5" customHeight="1">
      <c r="A51" s="400" t="s">
        <v>615</v>
      </c>
      <c r="B51" s="403">
        <f>SUM(B48:B50)</f>
        <v>283996</v>
      </c>
      <c r="C51" s="403">
        <f>SUM(C48:C50)</f>
        <v>281900</v>
      </c>
      <c r="D51" s="403">
        <f>SUM(D48:D50)</f>
        <v>2095</v>
      </c>
      <c r="E51" s="403">
        <f>SUM(E48:E50)</f>
        <v>0</v>
      </c>
      <c r="F51" s="398"/>
    </row>
    <row r="52" spans="1:6" s="404" customFormat="1" ht="51" customHeight="1">
      <c r="A52" s="408" t="s">
        <v>635</v>
      </c>
      <c r="B52" s="403">
        <v>31032</v>
      </c>
      <c r="C52" s="409">
        <f>1032+30000</f>
        <v>31032</v>
      </c>
      <c r="D52" s="409"/>
      <c r="E52" s="409"/>
      <c r="F52" s="397"/>
    </row>
    <row r="53" spans="1:6" s="400" customFormat="1" ht="44.25" customHeight="1">
      <c r="A53" s="399" t="s">
        <v>636</v>
      </c>
      <c r="B53" s="399"/>
      <c r="C53" s="399"/>
      <c r="D53" s="399"/>
      <c r="E53" s="399"/>
      <c r="F53" s="398"/>
    </row>
    <row r="54" spans="1:6" s="400" customFormat="1" ht="36.75">
      <c r="A54" s="400" t="s">
        <v>329</v>
      </c>
      <c r="B54" s="401" t="s">
        <v>598</v>
      </c>
      <c r="C54" s="401" t="s">
        <v>599</v>
      </c>
      <c r="D54" s="401" t="s">
        <v>600</v>
      </c>
      <c r="E54" s="401" t="s">
        <v>601</v>
      </c>
      <c r="F54" s="398"/>
    </row>
    <row r="55" ht="14.25">
      <c r="A55" s="396" t="s">
        <v>42</v>
      </c>
    </row>
    <row r="56" ht="14.25">
      <c r="A56" s="396" t="s">
        <v>44</v>
      </c>
    </row>
    <row r="57" ht="14.25">
      <c r="A57" s="396" t="s">
        <v>606</v>
      </c>
    </row>
    <row r="58" ht="14.25">
      <c r="A58" s="396" t="s">
        <v>607</v>
      </c>
    </row>
    <row r="59" spans="1:5" ht="14.25">
      <c r="A59" s="396" t="s">
        <v>637</v>
      </c>
      <c r="B59" s="397">
        <v>226952</v>
      </c>
      <c r="C59" s="397">
        <f>23379+35210+20623+57490</f>
        <v>136702</v>
      </c>
      <c r="D59" s="397">
        <v>80000</v>
      </c>
      <c r="E59" s="397">
        <f>+B59-C59-D59</f>
        <v>10250</v>
      </c>
    </row>
    <row r="60" ht="14.25">
      <c r="A60" s="406" t="s">
        <v>609</v>
      </c>
    </row>
    <row r="61" spans="1:6" s="404" customFormat="1" ht="22.5" customHeight="1">
      <c r="A61" s="400" t="s">
        <v>610</v>
      </c>
      <c r="B61" s="403">
        <f>SUM(B55:B60)</f>
        <v>226952</v>
      </c>
      <c r="C61" s="403">
        <f>SUM(C55:C60)</f>
        <v>136702</v>
      </c>
      <c r="D61" s="403">
        <f>SUM(D55:D60)</f>
        <v>80000</v>
      </c>
      <c r="E61" s="403">
        <f>SUM(E55:E60)</f>
        <v>10250</v>
      </c>
      <c r="F61" s="398"/>
    </row>
    <row r="62" ht="14.25">
      <c r="A62" s="396" t="s">
        <v>611</v>
      </c>
    </row>
    <row r="63" ht="14.25">
      <c r="A63" s="396" t="s">
        <v>638</v>
      </c>
    </row>
    <row r="64" spans="1:5" ht="14.25">
      <c r="A64" s="396" t="s">
        <v>620</v>
      </c>
      <c r="B64" s="397">
        <v>226952</v>
      </c>
      <c r="C64" s="397">
        <f>+C59</f>
        <v>136702</v>
      </c>
      <c r="D64" s="397">
        <f>+D59</f>
        <v>80000</v>
      </c>
      <c r="E64" s="397">
        <f>+E59</f>
        <v>10250</v>
      </c>
    </row>
    <row r="65" ht="14.25">
      <c r="A65" s="396" t="s">
        <v>639</v>
      </c>
    </row>
    <row r="66" ht="14.25">
      <c r="A66" s="396" t="s">
        <v>622</v>
      </c>
    </row>
    <row r="67" spans="1:6" s="404" customFormat="1" ht="22.5" customHeight="1">
      <c r="A67" s="400" t="s">
        <v>615</v>
      </c>
      <c r="B67" s="403">
        <f>SUM(B62:B66)</f>
        <v>226952</v>
      </c>
      <c r="C67" s="403">
        <f>SUM(C62:C66)</f>
        <v>136702</v>
      </c>
      <c r="D67" s="403">
        <f>SUM(D62:D66)</f>
        <v>80000</v>
      </c>
      <c r="E67" s="403">
        <f>SUM(E62:E66)</f>
        <v>10250</v>
      </c>
      <c r="F67" s="398"/>
    </row>
    <row r="68" spans="1:6" s="404" customFormat="1" ht="64.5" customHeight="1">
      <c r="A68" s="408" t="s">
        <v>640</v>
      </c>
      <c r="B68" s="403"/>
      <c r="C68" s="409">
        <f>540+2160+3609</f>
        <v>6309</v>
      </c>
      <c r="D68" s="409">
        <v>4548</v>
      </c>
      <c r="E68" s="409">
        <v>4200</v>
      </c>
      <c r="F68" s="398"/>
    </row>
    <row r="69" spans="1:6" s="400" customFormat="1" ht="54" customHeight="1">
      <c r="A69" s="399" t="s">
        <v>641</v>
      </c>
      <c r="B69" s="399"/>
      <c r="C69" s="399"/>
      <c r="D69" s="399"/>
      <c r="E69" s="399"/>
      <c r="F69" s="398"/>
    </row>
    <row r="70" spans="1:6" s="400" customFormat="1" ht="36.75">
      <c r="A70" s="400" t="s">
        <v>329</v>
      </c>
      <c r="B70" s="401" t="s">
        <v>598</v>
      </c>
      <c r="C70" s="401" t="s">
        <v>599</v>
      </c>
      <c r="D70" s="401" t="s">
        <v>642</v>
      </c>
      <c r="E70" s="401" t="s">
        <v>643</v>
      </c>
      <c r="F70" s="398"/>
    </row>
    <row r="71" spans="1:5" ht="12.75" hidden="1">
      <c r="A71" s="396" t="s">
        <v>42</v>
      </c>
      <c r="B71" s="397">
        <v>8714057</v>
      </c>
      <c r="C71" s="397">
        <v>1979923</v>
      </c>
      <c r="D71" s="397">
        <v>2690082</v>
      </c>
      <c r="E71" s="397" t="e">
        <f>+B71-C71-#REF!-D71</f>
        <v>#N/A</v>
      </c>
    </row>
    <row r="72" spans="1:4" ht="14.25">
      <c r="A72" s="396" t="s">
        <v>42</v>
      </c>
      <c r="B72" s="397">
        <f>+C72+D72</f>
        <v>8764704</v>
      </c>
      <c r="C72" s="397">
        <f>1833262+2895972</f>
        <v>4729234</v>
      </c>
      <c r="D72" s="397">
        <v>4035470</v>
      </c>
    </row>
    <row r="73" spans="1:2" ht="14.25">
      <c r="A73" s="396" t="s">
        <v>44</v>
      </c>
      <c r="B73" s="397">
        <f>+C73+D73</f>
        <v>0</v>
      </c>
    </row>
    <row r="74" spans="1:5" ht="24.75">
      <c r="A74" s="396" t="s">
        <v>602</v>
      </c>
      <c r="B74" s="402" t="s">
        <v>644</v>
      </c>
      <c r="C74" s="402" t="s">
        <v>645</v>
      </c>
      <c r="D74" s="402" t="s">
        <v>646</v>
      </c>
      <c r="E74" s="402"/>
    </row>
    <row r="75" spans="1:2" ht="14.25">
      <c r="A75" s="396" t="s">
        <v>606</v>
      </c>
      <c r="B75" s="397">
        <f aca="true" t="shared" si="0" ref="B75:B85">+C75+D75</f>
        <v>0</v>
      </c>
    </row>
    <row r="76" spans="1:2" ht="14.25">
      <c r="A76" s="396" t="s">
        <v>607</v>
      </c>
      <c r="B76" s="397">
        <f t="shared" si="0"/>
        <v>0</v>
      </c>
    </row>
    <row r="77" spans="1:2" ht="14.25">
      <c r="A77" s="396" t="s">
        <v>637</v>
      </c>
      <c r="B77" s="397">
        <f t="shared" si="0"/>
        <v>0</v>
      </c>
    </row>
    <row r="78" spans="1:2" ht="14.25">
      <c r="A78" s="406" t="s">
        <v>609</v>
      </c>
      <c r="B78" s="397">
        <f t="shared" si="0"/>
        <v>0</v>
      </c>
    </row>
    <row r="79" spans="1:6" s="404" customFormat="1" ht="22.5" customHeight="1">
      <c r="A79" s="400" t="s">
        <v>610</v>
      </c>
      <c r="B79" s="403">
        <f t="shared" si="0"/>
        <v>8764704</v>
      </c>
      <c r="C79" s="403">
        <f>SUM(C72)</f>
        <v>4729234</v>
      </c>
      <c r="D79" s="403">
        <f>SUM(D72)</f>
        <v>4035470</v>
      </c>
      <c r="E79" s="403"/>
      <c r="F79" s="398"/>
    </row>
    <row r="80" spans="1:4" ht="14.25">
      <c r="A80" s="396" t="s">
        <v>611</v>
      </c>
      <c r="B80" s="397">
        <f t="shared" si="0"/>
        <v>5115894</v>
      </c>
      <c r="C80" s="397">
        <f>1093065+1601547</f>
        <v>2694612</v>
      </c>
      <c r="D80" s="397">
        <v>2421282</v>
      </c>
    </row>
    <row r="81" spans="1:4" ht="14.25">
      <c r="A81" s="406" t="s">
        <v>647</v>
      </c>
      <c r="B81" s="397">
        <f t="shared" si="0"/>
        <v>2557947</v>
      </c>
      <c r="C81" s="397">
        <f>546533+800773</f>
        <v>1347306</v>
      </c>
      <c r="D81" s="397">
        <v>1210641</v>
      </c>
    </row>
    <row r="82" spans="1:3" ht="14.25">
      <c r="A82" s="406" t="s">
        <v>619</v>
      </c>
      <c r="B82" s="397">
        <f t="shared" si="0"/>
        <v>0</v>
      </c>
      <c r="C82" s="397">
        <v>0</v>
      </c>
    </row>
    <row r="83" spans="1:3" ht="14.25">
      <c r="A83" s="406" t="s">
        <v>648</v>
      </c>
      <c r="B83" s="397">
        <f t="shared" si="0"/>
        <v>50000</v>
      </c>
      <c r="C83" s="397">
        <v>50000</v>
      </c>
    </row>
    <row r="84" spans="1:4" ht="13.5" customHeight="1">
      <c r="A84" s="406" t="s">
        <v>649</v>
      </c>
      <c r="B84" s="397">
        <f t="shared" si="0"/>
        <v>299312</v>
      </c>
      <c r="C84" s="397">
        <f>38060+125257</f>
        <v>163317</v>
      </c>
      <c r="D84" s="397">
        <v>135995</v>
      </c>
    </row>
    <row r="85" spans="1:4" ht="14.25">
      <c r="A85" s="396" t="s">
        <v>620</v>
      </c>
      <c r="B85" s="397">
        <f t="shared" si="0"/>
        <v>741551</v>
      </c>
      <c r="C85" s="397">
        <f>+C79-C80-C81-C83-C84</f>
        <v>473999</v>
      </c>
      <c r="D85" s="397">
        <v>267552</v>
      </c>
    </row>
    <row r="86" spans="1:6" s="404" customFormat="1" ht="22.5" customHeight="1">
      <c r="A86" s="400" t="s">
        <v>615</v>
      </c>
      <c r="B86" s="403">
        <f>SUM(B80:B85)</f>
        <v>8764704</v>
      </c>
      <c r="C86" s="403">
        <f>SUM(C80:C85)</f>
        <v>4729234</v>
      </c>
      <c r="D86" s="403">
        <f>SUM(D80:D85)</f>
        <v>4035470</v>
      </c>
      <c r="E86" s="403">
        <f>SUM(E80:E85)</f>
        <v>0</v>
      </c>
      <c r="F86" s="398"/>
    </row>
    <row r="87" spans="1:6" s="404" customFormat="1" ht="50.25" customHeight="1">
      <c r="A87" s="408" t="s">
        <v>650</v>
      </c>
      <c r="B87" s="403"/>
      <c r="C87" s="409">
        <f>236011+75171+86668</f>
        <v>397850</v>
      </c>
      <c r="D87" s="409">
        <v>62459</v>
      </c>
      <c r="E87" s="409"/>
      <c r="F87" s="397"/>
    </row>
    <row r="88" spans="1:6" s="400" customFormat="1" ht="54" customHeight="1">
      <c r="A88" s="399" t="s">
        <v>651</v>
      </c>
      <c r="B88" s="399"/>
      <c r="C88" s="399"/>
      <c r="D88" s="399"/>
      <c r="E88" s="399"/>
      <c r="F88" s="398"/>
    </row>
    <row r="89" spans="1:6" s="404" customFormat="1" ht="50.25" customHeight="1">
      <c r="A89" s="400" t="s">
        <v>329</v>
      </c>
      <c r="B89" s="401" t="s">
        <v>598</v>
      </c>
      <c r="C89" s="401" t="s">
        <v>599</v>
      </c>
      <c r="D89" s="401" t="s">
        <v>642</v>
      </c>
      <c r="E89" s="401" t="s">
        <v>643</v>
      </c>
      <c r="F89" s="397"/>
    </row>
    <row r="90" spans="1:6" s="404" customFormat="1" ht="12.75" customHeight="1">
      <c r="A90" s="396" t="s">
        <v>42</v>
      </c>
      <c r="B90" s="401">
        <v>598033</v>
      </c>
      <c r="C90" s="401"/>
      <c r="D90" s="401">
        <v>598033</v>
      </c>
      <c r="E90" s="401"/>
      <c r="F90" s="397"/>
    </row>
    <row r="91" spans="1:6" s="404" customFormat="1" ht="12.75" customHeight="1">
      <c r="A91" s="396" t="s">
        <v>44</v>
      </c>
      <c r="B91" s="401"/>
      <c r="C91" s="401"/>
      <c r="D91" s="401"/>
      <c r="E91" s="401"/>
      <c r="F91" s="397"/>
    </row>
    <row r="92" spans="1:6" s="404" customFormat="1" ht="12.75" customHeight="1">
      <c r="A92" s="396" t="s">
        <v>606</v>
      </c>
      <c r="B92" s="401"/>
      <c r="C92" s="401"/>
      <c r="D92" s="401"/>
      <c r="E92" s="401"/>
      <c r="F92" s="397"/>
    </row>
    <row r="93" spans="1:6" s="404" customFormat="1" ht="12.75" customHeight="1">
      <c r="A93" s="396" t="s">
        <v>607</v>
      </c>
      <c r="B93" s="401"/>
      <c r="C93" s="401"/>
      <c r="D93" s="401"/>
      <c r="E93" s="401"/>
      <c r="F93" s="397"/>
    </row>
    <row r="94" spans="1:6" s="404" customFormat="1" ht="12.75" customHeight="1">
      <c r="A94" s="396" t="s">
        <v>637</v>
      </c>
      <c r="B94" s="401"/>
      <c r="C94" s="401"/>
      <c r="D94" s="401"/>
      <c r="E94" s="401"/>
      <c r="F94" s="397"/>
    </row>
    <row r="95" spans="1:6" s="404" customFormat="1" ht="12.75" customHeight="1">
      <c r="A95" s="396"/>
      <c r="B95" s="401"/>
      <c r="C95" s="401"/>
      <c r="D95" s="401"/>
      <c r="E95" s="401"/>
      <c r="F95" s="397"/>
    </row>
    <row r="96" spans="1:6" s="404" customFormat="1" ht="22.5" customHeight="1">
      <c r="A96" s="400" t="s">
        <v>610</v>
      </c>
      <c r="B96" s="403">
        <f>SUM(B90:B95)</f>
        <v>598033</v>
      </c>
      <c r="C96" s="403">
        <f>SUM(C90:C95)</f>
        <v>0</v>
      </c>
      <c r="D96" s="403">
        <f>SUM(D90:D95)</f>
        <v>598033</v>
      </c>
      <c r="E96" s="403">
        <f>SUM(E90:E95)</f>
        <v>0</v>
      </c>
      <c r="F96" s="397"/>
    </row>
    <row r="97" spans="1:6" s="404" customFormat="1" ht="12.75" customHeight="1">
      <c r="A97" s="396" t="s">
        <v>611</v>
      </c>
      <c r="B97" s="401"/>
      <c r="C97" s="401"/>
      <c r="D97" s="401">
        <v>332241</v>
      </c>
      <c r="E97" s="401"/>
      <c r="F97" s="397"/>
    </row>
    <row r="98" spans="1:6" s="404" customFormat="1" ht="12.75" customHeight="1">
      <c r="A98" s="406" t="s">
        <v>647</v>
      </c>
      <c r="B98" s="401"/>
      <c r="C98" s="401"/>
      <c r="D98" s="401">
        <v>166120</v>
      </c>
      <c r="E98" s="401"/>
      <c r="F98" s="397"/>
    </row>
    <row r="99" spans="1:6" s="404" customFormat="1" ht="12.75" customHeight="1">
      <c r="A99" s="406" t="s">
        <v>619</v>
      </c>
      <c r="B99" s="401"/>
      <c r="C99" s="401"/>
      <c r="D99" s="401"/>
      <c r="E99" s="401"/>
      <c r="F99" s="397"/>
    </row>
    <row r="100" spans="1:6" s="404" customFormat="1" ht="12.75" customHeight="1">
      <c r="A100" s="406" t="s">
        <v>648</v>
      </c>
      <c r="B100" s="401"/>
      <c r="C100" s="401"/>
      <c r="D100" s="401"/>
      <c r="E100" s="401"/>
      <c r="F100" s="397"/>
    </row>
    <row r="101" spans="1:6" s="404" customFormat="1" ht="12.75" customHeight="1">
      <c r="A101" s="406" t="s">
        <v>649</v>
      </c>
      <c r="B101" s="401"/>
      <c r="C101" s="401"/>
      <c r="D101" s="401">
        <v>18661</v>
      </c>
      <c r="E101" s="401"/>
      <c r="F101" s="397"/>
    </row>
    <row r="102" spans="1:6" s="404" customFormat="1" ht="12.75" customHeight="1">
      <c r="A102" s="396" t="s">
        <v>620</v>
      </c>
      <c r="B102" s="401"/>
      <c r="C102" s="401"/>
      <c r="D102" s="401">
        <v>36712</v>
      </c>
      <c r="E102" s="401"/>
      <c r="F102" s="397"/>
    </row>
    <row r="103" spans="1:6" s="404" customFormat="1" ht="12.75" customHeight="1">
      <c r="A103" s="396" t="s">
        <v>622</v>
      </c>
      <c r="B103" s="401"/>
      <c r="C103" s="401"/>
      <c r="D103" s="401">
        <v>44299</v>
      </c>
      <c r="E103" s="401"/>
      <c r="F103" s="397"/>
    </row>
    <row r="104" spans="1:6" s="404" customFormat="1" ht="22.5" customHeight="1">
      <c r="A104" s="400" t="s">
        <v>615</v>
      </c>
      <c r="B104" s="403">
        <f>SUM(B97:B103)</f>
        <v>0</v>
      </c>
      <c r="C104" s="403">
        <f>SUM(C97:C103)</f>
        <v>0</v>
      </c>
      <c r="D104" s="403">
        <f>SUM(D97:D103)</f>
        <v>598033</v>
      </c>
      <c r="E104" s="403">
        <f>SUM(E97:E103)</f>
        <v>0</v>
      </c>
      <c r="F104" s="397"/>
    </row>
    <row r="105" spans="1:6" s="400" customFormat="1" ht="54" customHeight="1">
      <c r="A105" s="399" t="s">
        <v>652</v>
      </c>
      <c r="B105" s="399"/>
      <c r="C105" s="399"/>
      <c r="D105" s="399"/>
      <c r="E105" s="399"/>
      <c r="F105" s="398"/>
    </row>
    <row r="106" spans="1:6" s="400" customFormat="1" ht="36.75">
      <c r="A106" s="400" t="s">
        <v>329</v>
      </c>
      <c r="B106" s="401" t="s">
        <v>598</v>
      </c>
      <c r="C106" s="401" t="s">
        <v>599</v>
      </c>
      <c r="D106" s="401" t="s">
        <v>600</v>
      </c>
      <c r="E106" s="401" t="s">
        <v>601</v>
      </c>
      <c r="F106" s="398"/>
    </row>
    <row r="107" spans="1:4" ht="14.25">
      <c r="A107" s="396" t="s">
        <v>42</v>
      </c>
      <c r="B107" s="397">
        <v>150000</v>
      </c>
      <c r="C107" s="397">
        <v>116492</v>
      </c>
      <c r="D107" s="397">
        <v>33508</v>
      </c>
    </row>
    <row r="108" ht="14.25">
      <c r="A108" s="396" t="s">
        <v>44</v>
      </c>
    </row>
    <row r="109" ht="14.25">
      <c r="A109" s="396" t="s">
        <v>606</v>
      </c>
    </row>
    <row r="110" ht="14.25">
      <c r="A110" s="396" t="s">
        <v>607</v>
      </c>
    </row>
    <row r="111" ht="12.75" customHeight="1">
      <c r="A111" s="396" t="s">
        <v>637</v>
      </c>
    </row>
    <row r="112" ht="14.25">
      <c r="A112" s="406" t="s">
        <v>609</v>
      </c>
    </row>
    <row r="113" spans="1:6" s="404" customFormat="1" ht="22.5" customHeight="1">
      <c r="A113" s="400" t="s">
        <v>610</v>
      </c>
      <c r="B113" s="403">
        <f>SUM(B107:B112)</f>
        <v>150000</v>
      </c>
      <c r="C113" s="403">
        <f>SUM(C107:C112)</f>
        <v>116492</v>
      </c>
      <c r="D113" s="403">
        <f>SUM(D107:D112)</f>
        <v>33508</v>
      </c>
      <c r="E113" s="403">
        <f>SUM(E107:E112)</f>
        <v>0</v>
      </c>
      <c r="F113" s="398"/>
    </row>
    <row r="114" spans="1:4" ht="14.25">
      <c r="A114" s="396" t="s">
        <v>611</v>
      </c>
      <c r="B114" s="397">
        <v>138000</v>
      </c>
      <c r="C114" s="405">
        <v>33126</v>
      </c>
      <c r="D114" s="397">
        <f>+B114-C114</f>
        <v>104874</v>
      </c>
    </row>
    <row r="115" spans="1:3" ht="14.25">
      <c r="A115" s="406" t="s">
        <v>647</v>
      </c>
      <c r="C115" s="410"/>
    </row>
    <row r="116" spans="1:3" ht="14.25">
      <c r="A116" s="406" t="s">
        <v>653</v>
      </c>
      <c r="C116" s="405"/>
    </row>
    <row r="117" spans="1:4" ht="14.25">
      <c r="A117" s="396" t="s">
        <v>620</v>
      </c>
      <c r="B117" s="397">
        <v>12000</v>
      </c>
      <c r="C117" s="405">
        <f>+C113-C114</f>
        <v>83366</v>
      </c>
      <c r="D117" s="397">
        <f>+B117-C117</f>
        <v>-71366</v>
      </c>
    </row>
    <row r="118" spans="1:3" ht="14.25">
      <c r="A118" s="396" t="s">
        <v>622</v>
      </c>
      <c r="B118" s="397">
        <v>0</v>
      </c>
      <c r="C118" s="410"/>
    </row>
    <row r="119" spans="1:6" s="404" customFormat="1" ht="22.5" customHeight="1">
      <c r="A119" s="400" t="s">
        <v>615</v>
      </c>
      <c r="B119" s="403">
        <f>SUM(B114:B118)</f>
        <v>150000</v>
      </c>
      <c r="C119" s="403">
        <f>SUM(C114:C118)</f>
        <v>116492</v>
      </c>
      <c r="D119" s="403">
        <f>SUM(D114:D118)</f>
        <v>33508</v>
      </c>
      <c r="E119" s="403">
        <f>SUM(E114:E118)</f>
        <v>0</v>
      </c>
      <c r="F119" s="398"/>
    </row>
    <row r="120" spans="1:6" s="400" customFormat="1" ht="54" customHeight="1">
      <c r="A120" s="399" t="s">
        <v>654</v>
      </c>
      <c r="B120" s="399"/>
      <c r="C120" s="399"/>
      <c r="D120" s="399"/>
      <c r="E120" s="399"/>
      <c r="F120" s="398"/>
    </row>
    <row r="121" spans="1:6" s="400" customFormat="1" ht="60.75">
      <c r="A121" s="400" t="s">
        <v>329</v>
      </c>
      <c r="B121" s="401" t="s">
        <v>598</v>
      </c>
      <c r="C121" s="401" t="s">
        <v>655</v>
      </c>
      <c r="D121" s="401" t="s">
        <v>600</v>
      </c>
      <c r="E121" s="401" t="s">
        <v>643</v>
      </c>
      <c r="F121" s="398"/>
    </row>
    <row r="122" spans="1:3" ht="14.25">
      <c r="A122" s="396" t="s">
        <v>42</v>
      </c>
      <c r="B122" s="397">
        <f>149804+C122</f>
        <v>153161</v>
      </c>
      <c r="C122" s="397">
        <v>3357</v>
      </c>
    </row>
    <row r="123" ht="14.25">
      <c r="A123" s="396" t="s">
        <v>44</v>
      </c>
    </row>
    <row r="124" spans="1:2" ht="14.25">
      <c r="A124" s="396" t="s">
        <v>606</v>
      </c>
      <c r="B124" s="397">
        <v>177464</v>
      </c>
    </row>
    <row r="125" spans="1:2" ht="14.25">
      <c r="A125" s="396" t="s">
        <v>607</v>
      </c>
      <c r="B125" s="397">
        <v>13420</v>
      </c>
    </row>
    <row r="126" spans="1:6" s="404" customFormat="1" ht="22.5" customHeight="1">
      <c r="A126" s="400" t="s">
        <v>610</v>
      </c>
      <c r="B126" s="403">
        <f>SUM(B122:B125)</f>
        <v>344045</v>
      </c>
      <c r="C126" s="403">
        <f>SUM(C122:C125)</f>
        <v>3357</v>
      </c>
      <c r="D126" s="403"/>
      <c r="E126" s="403">
        <f>SUM(E122:E125)</f>
        <v>0</v>
      </c>
      <c r="F126" s="398"/>
    </row>
    <row r="127" spans="1:3" ht="14.25">
      <c r="A127" s="396" t="s">
        <v>611</v>
      </c>
      <c r="B127" s="397">
        <f>255516+C127</f>
        <v>257996</v>
      </c>
      <c r="C127" s="397">
        <f>620+1860</f>
        <v>2480</v>
      </c>
    </row>
    <row r="128" spans="1:3" ht="14.25">
      <c r="A128" s="406" t="s">
        <v>647</v>
      </c>
      <c r="B128" s="397">
        <f>85172+C128</f>
        <v>85999</v>
      </c>
      <c r="C128" s="397">
        <f>207+620</f>
        <v>827</v>
      </c>
    </row>
    <row r="129" spans="1:2" ht="14.25">
      <c r="A129" s="406" t="s">
        <v>656</v>
      </c>
      <c r="B129" s="397">
        <f>+C129</f>
        <v>0</v>
      </c>
    </row>
    <row r="130" spans="1:3" ht="14.25">
      <c r="A130" s="396" t="s">
        <v>620</v>
      </c>
      <c r="B130" s="397">
        <f>+C130</f>
        <v>50</v>
      </c>
      <c r="C130" s="397">
        <v>50</v>
      </c>
    </row>
    <row r="131" ht="12.75" hidden="1">
      <c r="A131" s="406" t="s">
        <v>657</v>
      </c>
    </row>
    <row r="132" ht="12.75" hidden="1">
      <c r="A132" s="396" t="s">
        <v>639</v>
      </c>
    </row>
    <row r="133" ht="12.75" hidden="1">
      <c r="A133" s="396" t="s">
        <v>622</v>
      </c>
    </row>
    <row r="134" spans="1:6" s="404" customFormat="1" ht="22.5" customHeight="1">
      <c r="A134" s="400" t="s">
        <v>615</v>
      </c>
      <c r="B134" s="403">
        <f>SUM(B127:B133)</f>
        <v>344045</v>
      </c>
      <c r="C134" s="403">
        <f>SUM(C127:C133)</f>
        <v>3357</v>
      </c>
      <c r="D134" s="403"/>
      <c r="E134" s="403">
        <f>SUM(E127:E133)</f>
        <v>0</v>
      </c>
      <c r="F134" s="398"/>
    </row>
    <row r="135" spans="1:6" s="404" customFormat="1" ht="57" customHeight="1">
      <c r="A135" s="411" t="s">
        <v>658</v>
      </c>
      <c r="B135" s="403"/>
      <c r="C135" s="403"/>
      <c r="D135" s="403">
        <v>1000</v>
      </c>
      <c r="E135" s="403"/>
      <c r="F135" s="398"/>
    </row>
    <row r="136" spans="1:6" s="400" customFormat="1" ht="54" customHeight="1">
      <c r="A136" s="412" t="s">
        <v>659</v>
      </c>
      <c r="B136" s="412"/>
      <c r="C136" s="412"/>
      <c r="D136" s="412"/>
      <c r="E136" s="412"/>
      <c r="F136" s="398"/>
    </row>
    <row r="137" spans="1:6" s="400" customFormat="1" ht="36.75">
      <c r="A137" s="400" t="s">
        <v>329</v>
      </c>
      <c r="B137" s="401" t="s">
        <v>598</v>
      </c>
      <c r="C137" s="401" t="s">
        <v>599</v>
      </c>
      <c r="D137" s="401" t="s">
        <v>600</v>
      </c>
      <c r="E137" s="401" t="s">
        <v>643</v>
      </c>
      <c r="F137" s="398"/>
    </row>
    <row r="138" spans="1:2" ht="14.25">
      <c r="A138" s="396" t="s">
        <v>42</v>
      </c>
      <c r="B138" s="397">
        <v>732426</v>
      </c>
    </row>
    <row r="139" ht="14.25">
      <c r="A139" s="396" t="s">
        <v>44</v>
      </c>
    </row>
    <row r="140" spans="1:2" ht="14.25">
      <c r="A140" s="396" t="s">
        <v>606</v>
      </c>
      <c r="B140" s="397">
        <v>48349</v>
      </c>
    </row>
    <row r="141" ht="14.25">
      <c r="A141" s="396" t="s">
        <v>607</v>
      </c>
    </row>
    <row r="142" spans="1:6" s="404" customFormat="1" ht="22.5" customHeight="1">
      <c r="A142" s="400" t="s">
        <v>610</v>
      </c>
      <c r="B142" s="403">
        <f>SUM(B138:B141)</f>
        <v>780775</v>
      </c>
      <c r="C142" s="403">
        <f>SUM(C138:C141)</f>
        <v>0</v>
      </c>
      <c r="D142" s="403"/>
      <c r="E142" s="403">
        <f>SUM(E138:E141)</f>
        <v>0</v>
      </c>
      <c r="F142" s="398"/>
    </row>
    <row r="143" spans="1:2" ht="14.25">
      <c r="A143" s="396" t="s">
        <v>611</v>
      </c>
      <c r="B143" s="397">
        <v>576620</v>
      </c>
    </row>
    <row r="144" spans="1:2" ht="14.25">
      <c r="A144" s="406" t="s">
        <v>647</v>
      </c>
      <c r="B144" s="397">
        <v>144155</v>
      </c>
    </row>
    <row r="145" spans="1:5" s="415" customFormat="1" ht="13.5">
      <c r="A145" s="413" t="s">
        <v>620</v>
      </c>
      <c r="B145" s="414">
        <v>60000</v>
      </c>
      <c r="C145" s="414"/>
      <c r="D145" s="414"/>
      <c r="E145" s="414"/>
    </row>
    <row r="146" ht="12.75" hidden="1">
      <c r="A146" s="406" t="s">
        <v>660</v>
      </c>
    </row>
    <row r="147" ht="12.75" hidden="1">
      <c r="A147" s="396" t="s">
        <v>639</v>
      </c>
    </row>
    <row r="148" ht="12.75" hidden="1">
      <c r="A148" s="396" t="s">
        <v>622</v>
      </c>
    </row>
    <row r="149" spans="1:6" s="404" customFormat="1" ht="22.5" customHeight="1">
      <c r="A149" s="400" t="s">
        <v>615</v>
      </c>
      <c r="B149" s="403">
        <f>SUM(B143:B148)</f>
        <v>780775</v>
      </c>
      <c r="C149" s="403">
        <f>SUM(C143:C148)</f>
        <v>0</v>
      </c>
      <c r="D149" s="403"/>
      <c r="E149" s="403">
        <f>SUM(E143:E148)</f>
        <v>0</v>
      </c>
      <c r="F149" s="398"/>
    </row>
    <row r="150" spans="1:6" s="400" customFormat="1" ht="54" customHeight="1">
      <c r="A150" s="412" t="s">
        <v>661</v>
      </c>
      <c r="B150" s="412"/>
      <c r="C150" s="412"/>
      <c r="D150" s="412"/>
      <c r="E150" s="412"/>
      <c r="F150" s="398"/>
    </row>
    <row r="151" spans="1:6" s="400" customFormat="1" ht="36.75">
      <c r="A151" s="400" t="s">
        <v>329</v>
      </c>
      <c r="B151" s="401" t="s">
        <v>598</v>
      </c>
      <c r="C151" s="401" t="s">
        <v>599</v>
      </c>
      <c r="D151" s="401" t="s">
        <v>600</v>
      </c>
      <c r="E151" s="401" t="s">
        <v>643</v>
      </c>
      <c r="F151" s="398"/>
    </row>
    <row r="152" spans="1:6" s="417" customFormat="1" ht="17.25" customHeight="1">
      <c r="A152" s="411" t="s">
        <v>662</v>
      </c>
      <c r="B152" s="409">
        <v>60000</v>
      </c>
      <c r="C152" s="409">
        <f>2017+56000</f>
        <v>58017</v>
      </c>
      <c r="D152" s="409">
        <v>1983</v>
      </c>
      <c r="E152" s="409"/>
      <c r="F152" s="416"/>
    </row>
    <row r="153" spans="1:6" s="404" customFormat="1" ht="22.5" customHeight="1">
      <c r="A153" s="400" t="s">
        <v>610</v>
      </c>
      <c r="B153" s="403">
        <f>SUM(B152:B152)</f>
        <v>60000</v>
      </c>
      <c r="C153" s="403">
        <f>SUM(C152:C152)</f>
        <v>58017</v>
      </c>
      <c r="D153" s="403">
        <f>SUM(D152:D152)</f>
        <v>1983</v>
      </c>
      <c r="E153" s="403">
        <f>SUM(E152:E152)</f>
        <v>0</v>
      </c>
      <c r="F153" s="398"/>
    </row>
    <row r="155" spans="1:4" ht="14.25">
      <c r="A155" s="406" t="s">
        <v>653</v>
      </c>
      <c r="B155" s="397">
        <v>36000</v>
      </c>
      <c r="C155" s="397">
        <f>1097+113</f>
        <v>1210</v>
      </c>
      <c r="D155" s="405">
        <v>34790</v>
      </c>
    </row>
    <row r="156" spans="1:4" ht="14.25">
      <c r="A156" s="406" t="s">
        <v>663</v>
      </c>
      <c r="C156" s="397">
        <v>32807</v>
      </c>
      <c r="D156" s="397">
        <v>-32807</v>
      </c>
    </row>
    <row r="157" spans="1:3" ht="14.25">
      <c r="A157" s="406" t="s">
        <v>620</v>
      </c>
      <c r="B157" s="397">
        <v>24000</v>
      </c>
      <c r="C157" s="397">
        <v>24000</v>
      </c>
    </row>
    <row r="158" spans="1:6" s="404" customFormat="1" ht="22.5" customHeight="1">
      <c r="A158" s="400" t="s">
        <v>615</v>
      </c>
      <c r="B158" s="403">
        <v>60000</v>
      </c>
      <c r="C158" s="403">
        <f>SUM(C155:C157)</f>
        <v>58017</v>
      </c>
      <c r="D158" s="403">
        <f>SUM(D155:D157)</f>
        <v>1983</v>
      </c>
      <c r="E158" s="403">
        <f>SUM(E155:E157)</f>
        <v>0</v>
      </c>
      <c r="F158" s="398"/>
    </row>
    <row r="159" spans="1:6" s="404" customFormat="1" ht="24.75">
      <c r="A159" s="408" t="s">
        <v>664</v>
      </c>
      <c r="B159" s="403"/>
      <c r="C159" s="403">
        <v>32627</v>
      </c>
      <c r="D159" s="403"/>
      <c r="E159" s="403"/>
      <c r="F159" s="398"/>
    </row>
    <row r="160" spans="1:6" s="417" customFormat="1" ht="13.5">
      <c r="A160" s="411" t="s">
        <v>665</v>
      </c>
      <c r="B160" s="409"/>
      <c r="C160" s="418">
        <v>3075</v>
      </c>
      <c r="D160" s="409"/>
      <c r="E160" s="409"/>
      <c r="F160" s="416"/>
    </row>
    <row r="161" spans="1:6" s="417" customFormat="1" ht="13.5">
      <c r="A161" s="411" t="s">
        <v>666</v>
      </c>
      <c r="B161" s="409"/>
      <c r="C161" s="418"/>
      <c r="D161" s="409">
        <v>16000</v>
      </c>
      <c r="E161" s="409"/>
      <c r="F161" s="416"/>
    </row>
    <row r="162" spans="1:4" ht="24.75">
      <c r="A162" s="411" t="s">
        <v>667</v>
      </c>
      <c r="D162" s="397">
        <v>1400</v>
      </c>
    </row>
    <row r="163" spans="1:4" ht="24.75">
      <c r="A163" s="396" t="s">
        <v>668</v>
      </c>
      <c r="D163" s="397">
        <v>69600</v>
      </c>
    </row>
    <row r="164" spans="1:4" ht="15" customHeight="1">
      <c r="A164" s="419" t="s">
        <v>669</v>
      </c>
      <c r="D164" s="397">
        <v>45745</v>
      </c>
    </row>
    <row r="165" spans="1:6" s="400" customFormat="1" ht="54" customHeight="1">
      <c r="A165" s="399" t="s">
        <v>670</v>
      </c>
      <c r="B165" s="399"/>
      <c r="C165" s="399"/>
      <c r="D165" s="399"/>
      <c r="E165" s="399"/>
      <c r="F165" s="398"/>
    </row>
    <row r="166" spans="1:256" ht="36.75">
      <c r="A166" s="420" t="s">
        <v>329</v>
      </c>
      <c r="B166" s="421" t="s">
        <v>598</v>
      </c>
      <c r="C166" s="421" t="s">
        <v>599</v>
      </c>
      <c r="D166" s="421" t="s">
        <v>671</v>
      </c>
      <c r="E166" s="421" t="s">
        <v>643</v>
      </c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>
      <c r="A167" s="422" t="s">
        <v>42</v>
      </c>
      <c r="B167" s="423"/>
      <c r="C167" s="423"/>
      <c r="D167" s="423"/>
      <c r="E167" s="423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14.25">
      <c r="A168" s="422" t="s">
        <v>44</v>
      </c>
      <c r="B168" s="423"/>
      <c r="C168" s="423"/>
      <c r="D168" s="423"/>
      <c r="E168" s="423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14.25">
      <c r="A169" s="422" t="s">
        <v>607</v>
      </c>
      <c r="B169" s="423"/>
      <c r="C169" s="423"/>
      <c r="D169" s="423"/>
      <c r="E169" s="423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14.25">
      <c r="A170" s="422" t="s">
        <v>608</v>
      </c>
      <c r="B170" s="423">
        <v>9964328</v>
      </c>
      <c r="C170" s="423">
        <v>2578812</v>
      </c>
      <c r="D170" s="423">
        <v>7385516</v>
      </c>
      <c r="E170" s="423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4.25">
      <c r="A171" s="422" t="s">
        <v>609</v>
      </c>
      <c r="B171" s="423"/>
      <c r="C171" s="423"/>
      <c r="D171" s="423"/>
      <c r="E171" s="423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5" customHeight="1">
      <c r="A172" s="424" t="s">
        <v>610</v>
      </c>
      <c r="B172" s="425">
        <f>SUM(B167:B171)</f>
        <v>9964328</v>
      </c>
      <c r="C172" s="425">
        <f>SUM(C167:C171)</f>
        <v>2578812</v>
      </c>
      <c r="D172" s="425">
        <f>SUM(D167:D171)</f>
        <v>7385516</v>
      </c>
      <c r="E172" s="425">
        <f>SUM(E167:E171)</f>
        <v>0</v>
      </c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4.25">
      <c r="A173" s="422" t="s">
        <v>672</v>
      </c>
      <c r="B173" s="423">
        <v>8634600</v>
      </c>
      <c r="C173" s="423">
        <v>2240212</v>
      </c>
      <c r="D173" s="423">
        <v>6415724</v>
      </c>
      <c r="E173" s="42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4.25">
      <c r="A174" s="422" t="s">
        <v>647</v>
      </c>
      <c r="B174" s="423"/>
      <c r="C174" s="423"/>
      <c r="D174" s="423"/>
      <c r="E174" s="423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4.25">
      <c r="A175" s="422" t="s">
        <v>620</v>
      </c>
      <c r="B175" s="423">
        <v>1329728</v>
      </c>
      <c r="C175" s="423">
        <v>338600</v>
      </c>
      <c r="D175" s="423">
        <v>969792</v>
      </c>
      <c r="E175" s="423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14.25">
      <c r="A176" s="422" t="s">
        <v>673</v>
      </c>
      <c r="B176" s="423"/>
      <c r="C176" s="423"/>
      <c r="D176" s="423"/>
      <c r="E176" s="423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15" customHeight="1">
      <c r="A177" s="424" t="s">
        <v>615</v>
      </c>
      <c r="B177" s="425">
        <f>SUM(B173:B176)</f>
        <v>9964328</v>
      </c>
      <c r="C177" s="425">
        <f>SUM(C173:C176)</f>
        <v>2578812</v>
      </c>
      <c r="D177" s="425">
        <f>SUM(D173:D176)</f>
        <v>7385516</v>
      </c>
      <c r="E177" s="425">
        <f>SUM(E173:E176)</f>
        <v>0</v>
      </c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14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6" s="400" customFormat="1" ht="54" customHeight="1">
      <c r="A179" s="412" t="s">
        <v>674</v>
      </c>
      <c r="B179" s="412"/>
      <c r="C179" s="412"/>
      <c r="D179" s="412"/>
      <c r="E179" s="412"/>
      <c r="F179" s="398"/>
    </row>
    <row r="180" spans="1:256" ht="36.75">
      <c r="A180" s="420" t="s">
        <v>329</v>
      </c>
      <c r="B180" s="421" t="s">
        <v>598</v>
      </c>
      <c r="C180" s="421" t="s">
        <v>599</v>
      </c>
      <c r="D180" s="421" t="s">
        <v>671</v>
      </c>
      <c r="E180" s="421" t="s">
        <v>643</v>
      </c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14.25">
      <c r="A181" s="422" t="s">
        <v>42</v>
      </c>
      <c r="B181" s="423"/>
      <c r="C181" s="423">
        <v>7757000</v>
      </c>
      <c r="D181" s="423"/>
      <c r="E181" s="423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4.25">
      <c r="A182" s="422" t="s">
        <v>44</v>
      </c>
      <c r="B182" s="423"/>
      <c r="C182" s="423"/>
      <c r="D182" s="423"/>
      <c r="E182" s="423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14.25">
      <c r="A183" s="422" t="s">
        <v>144</v>
      </c>
      <c r="B183" s="423"/>
      <c r="C183" s="423">
        <v>342736</v>
      </c>
      <c r="D183" s="423">
        <v>2482264</v>
      </c>
      <c r="E183" s="42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14.25">
      <c r="A184" s="422" t="s">
        <v>675</v>
      </c>
      <c r="B184" s="423"/>
      <c r="C184" s="423">
        <v>2936302</v>
      </c>
      <c r="D184" s="423">
        <v>4428044</v>
      </c>
      <c r="E184" s="423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14.25">
      <c r="A185" s="422" t="s">
        <v>607</v>
      </c>
      <c r="B185" s="423"/>
      <c r="C185" s="423">
        <v>49462</v>
      </c>
      <c r="D185" s="423"/>
      <c r="E185" s="423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14.25">
      <c r="A186" s="422" t="s">
        <v>608</v>
      </c>
      <c r="B186" s="423"/>
      <c r="C186" s="423"/>
      <c r="D186" s="423"/>
      <c r="E186" s="423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14.25">
      <c r="A187" s="422" t="s">
        <v>609</v>
      </c>
      <c r="B187" s="423"/>
      <c r="C187" s="423"/>
      <c r="D187" s="423">
        <f>3599000+2987548</f>
        <v>6586548</v>
      </c>
      <c r="E187" s="423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4.25">
      <c r="A188" s="424" t="s">
        <v>610</v>
      </c>
      <c r="B188" s="425">
        <v>17995808</v>
      </c>
      <c r="C188" s="425">
        <f>SUM(C181:C187)</f>
        <v>11085500</v>
      </c>
      <c r="D188" s="425">
        <f>SUM(D181:D187)</f>
        <v>13496856</v>
      </c>
      <c r="E188" s="425">
        <f>SUM(E181:E187)</f>
        <v>0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4.25">
      <c r="A189" s="426" t="s">
        <v>676</v>
      </c>
      <c r="B189" s="423"/>
      <c r="C189" s="423">
        <v>2987548</v>
      </c>
      <c r="D189" s="423"/>
      <c r="E189" s="423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4.25">
      <c r="A190" s="422" t="s">
        <v>672</v>
      </c>
      <c r="B190" s="423"/>
      <c r="C190" s="423">
        <v>4498952</v>
      </c>
      <c r="D190" s="423">
        <v>13496856</v>
      </c>
      <c r="E190" s="423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t="14.25">
      <c r="A191" s="422" t="s">
        <v>647</v>
      </c>
      <c r="B191" s="423"/>
      <c r="C191" s="423"/>
      <c r="D191" s="423"/>
      <c r="E191" s="423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14.25">
      <c r="A192" s="422" t="s">
        <v>620</v>
      </c>
      <c r="B192" s="423"/>
      <c r="C192" s="423"/>
      <c r="D192" s="423"/>
      <c r="E192" s="423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14.25">
      <c r="A193" s="422" t="s">
        <v>673</v>
      </c>
      <c r="B193" s="423"/>
      <c r="C193" s="423"/>
      <c r="D193" s="423"/>
      <c r="E193" s="42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4.25">
      <c r="A194" s="422" t="s">
        <v>609</v>
      </c>
      <c r="B194" s="423"/>
      <c r="C194" s="423">
        <v>3599000</v>
      </c>
      <c r="D194" s="423"/>
      <c r="E194" s="423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4.25">
      <c r="A195" s="424" t="s">
        <v>615</v>
      </c>
      <c r="B195" s="425">
        <v>17995808</v>
      </c>
      <c r="C195" s="425">
        <f>SUM(C189:C194)</f>
        <v>11085500</v>
      </c>
      <c r="D195" s="425">
        <f>SUM(D189:D194)</f>
        <v>13496856</v>
      </c>
      <c r="E195" s="425">
        <f>SUM(E190:E193)</f>
        <v>0</v>
      </c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4.2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6" s="400" customFormat="1" ht="54" customHeight="1">
      <c r="A197" s="412" t="s">
        <v>677</v>
      </c>
      <c r="B197" s="412"/>
      <c r="C197" s="412"/>
      <c r="D197" s="412"/>
      <c r="E197" s="412"/>
      <c r="F197" s="398"/>
    </row>
    <row r="198" spans="1:256" ht="36.75">
      <c r="A198" s="420" t="s">
        <v>329</v>
      </c>
      <c r="B198" s="421" t="s">
        <v>598</v>
      </c>
      <c r="C198" s="421" t="s">
        <v>599</v>
      </c>
      <c r="D198" s="421" t="s">
        <v>671</v>
      </c>
      <c r="E198" s="421" t="s">
        <v>643</v>
      </c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t="14.25">
      <c r="A199" s="422" t="s">
        <v>42</v>
      </c>
      <c r="B199" s="423"/>
      <c r="C199" s="423"/>
      <c r="D199" s="423">
        <v>50000000</v>
      </c>
      <c r="E199" s="423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4.25">
      <c r="A200" s="422" t="s">
        <v>44</v>
      </c>
      <c r="B200" s="423"/>
      <c r="C200" s="423"/>
      <c r="D200" s="423"/>
      <c r="E200" s="423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ht="14.25">
      <c r="A201" s="422" t="s">
        <v>607</v>
      </c>
      <c r="B201" s="423"/>
      <c r="C201" s="423"/>
      <c r="D201" s="423"/>
      <c r="E201" s="423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ht="14.25">
      <c r="A202" s="422" t="s">
        <v>608</v>
      </c>
      <c r="B202" s="423"/>
      <c r="C202" s="423"/>
      <c r="D202" s="423"/>
      <c r="E202" s="423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ht="14.25">
      <c r="A203" s="422" t="s">
        <v>609</v>
      </c>
      <c r="B203" s="423"/>
      <c r="C203" s="423"/>
      <c r="D203" s="423"/>
      <c r="E203" s="42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14.25">
      <c r="A204" s="424" t="s">
        <v>610</v>
      </c>
      <c r="B204" s="425">
        <f>SUM(B199:B203)</f>
        <v>0</v>
      </c>
      <c r="C204" s="425">
        <f>SUM(C199:C203)</f>
        <v>0</v>
      </c>
      <c r="D204" s="425">
        <f>SUM(D199:D203)</f>
        <v>50000000</v>
      </c>
      <c r="E204" s="425">
        <f>SUM(E199:E203)</f>
        <v>0</v>
      </c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4.25">
      <c r="A205" s="422" t="s">
        <v>672</v>
      </c>
      <c r="B205" s="423"/>
      <c r="C205" s="423"/>
      <c r="D205" s="423"/>
      <c r="E205" s="423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t="14.25">
      <c r="A206" s="422" t="s">
        <v>647</v>
      </c>
      <c r="B206" s="423"/>
      <c r="C206" s="423"/>
      <c r="D206" s="423">
        <v>50000000</v>
      </c>
      <c r="E206" s="423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t="14.25">
      <c r="A207" s="422" t="s">
        <v>620</v>
      </c>
      <c r="B207" s="423"/>
      <c r="C207" s="423"/>
      <c r="D207" s="423"/>
      <c r="E207" s="423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t="14.25">
      <c r="A208" s="422" t="s">
        <v>673</v>
      </c>
      <c r="B208" s="423"/>
      <c r="C208" s="423"/>
      <c r="D208" s="423"/>
      <c r="E208" s="423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t="13.5" customHeight="1">
      <c r="A209" s="424" t="s">
        <v>615</v>
      </c>
      <c r="B209" s="425">
        <f>SUM(B205:B208)</f>
        <v>0</v>
      </c>
      <c r="C209" s="425">
        <f>SUM(C205:C208)</f>
        <v>0</v>
      </c>
      <c r="D209" s="425">
        <f>SUM(D205:D208)</f>
        <v>50000000</v>
      </c>
      <c r="E209" s="425">
        <f>SUM(E205:E208)</f>
        <v>0</v>
      </c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4.2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4.2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6" s="400" customFormat="1" ht="54" customHeight="1">
      <c r="A212" s="412" t="s">
        <v>678</v>
      </c>
      <c r="B212" s="412"/>
      <c r="C212" s="412"/>
      <c r="D212" s="412"/>
      <c r="E212" s="412"/>
      <c r="F212" s="398"/>
    </row>
    <row r="213" spans="1:256" ht="61.5" customHeight="1">
      <c r="A213" s="420" t="s">
        <v>329</v>
      </c>
      <c r="B213" s="421" t="s">
        <v>598</v>
      </c>
      <c r="C213" s="421" t="s">
        <v>599</v>
      </c>
      <c r="D213" s="421" t="s">
        <v>671</v>
      </c>
      <c r="E213" s="421" t="s">
        <v>643</v>
      </c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4.25">
      <c r="A214" s="422" t="s">
        <v>42</v>
      </c>
      <c r="B214" s="423"/>
      <c r="C214" s="423"/>
      <c r="D214" s="423"/>
      <c r="E214" s="423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14.25">
      <c r="A215" s="422" t="s">
        <v>44</v>
      </c>
      <c r="B215" s="423"/>
      <c r="C215" s="423"/>
      <c r="D215" s="423"/>
      <c r="E215" s="423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14.25">
      <c r="A216" s="422" t="s">
        <v>607</v>
      </c>
      <c r="B216" s="423"/>
      <c r="C216" s="423"/>
      <c r="D216" s="423"/>
      <c r="E216" s="423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4.25">
      <c r="A217" s="422" t="s">
        <v>144</v>
      </c>
      <c r="B217" s="423"/>
      <c r="C217" s="423">
        <v>1401907</v>
      </c>
      <c r="D217" s="423"/>
      <c r="E217" s="423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4.25">
      <c r="A218" s="422" t="s">
        <v>608</v>
      </c>
      <c r="B218" s="423"/>
      <c r="C218" s="423"/>
      <c r="D218" s="423"/>
      <c r="E218" s="423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4.25">
      <c r="A219" s="422" t="s">
        <v>609</v>
      </c>
      <c r="B219" s="423"/>
      <c r="C219" s="423"/>
      <c r="D219" s="423"/>
      <c r="E219" s="423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4.25">
      <c r="A220" s="424" t="s">
        <v>610</v>
      </c>
      <c r="B220" s="425">
        <f>SUM(B214:B219)</f>
        <v>0</v>
      </c>
      <c r="C220" s="425">
        <v>1401907</v>
      </c>
      <c r="D220" s="425">
        <f>SUM(D214:D219)</f>
        <v>0</v>
      </c>
      <c r="E220" s="425">
        <f>SUM(E214:E219)</f>
        <v>0</v>
      </c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4.25">
      <c r="A221" s="422" t="s">
        <v>672</v>
      </c>
      <c r="B221" s="423"/>
      <c r="C221" s="423">
        <v>1401967</v>
      </c>
      <c r="D221" s="423"/>
      <c r="E221" s="423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4.25">
      <c r="A222" s="422" t="s">
        <v>647</v>
      </c>
      <c r="B222" s="423"/>
      <c r="C222" s="423"/>
      <c r="D222" s="423"/>
      <c r="E222" s="423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4.25">
      <c r="A223" s="422" t="s">
        <v>620</v>
      </c>
      <c r="B223" s="423"/>
      <c r="C223" s="423"/>
      <c r="D223" s="423"/>
      <c r="E223" s="4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t="14.25">
      <c r="A224" s="422" t="s">
        <v>673</v>
      </c>
      <c r="B224" s="423"/>
      <c r="C224" s="423"/>
      <c r="D224" s="423"/>
      <c r="E224" s="423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14.25">
      <c r="A225" s="424" t="s">
        <v>615</v>
      </c>
      <c r="B225" s="425">
        <f>SUM(B221:B224)</f>
        <v>0</v>
      </c>
      <c r="C225" s="425">
        <v>1401967</v>
      </c>
      <c r="D225" s="425">
        <f>SUM(D221:D224)</f>
        <v>0</v>
      </c>
      <c r="E225" s="425">
        <f>SUM(E221:E224)</f>
        <v>0</v>
      </c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14.2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14.2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6" s="400" customFormat="1" ht="37.5" customHeight="1">
      <c r="A228" s="412" t="s">
        <v>679</v>
      </c>
      <c r="B228" s="412"/>
      <c r="C228" s="412"/>
      <c r="D228" s="412"/>
      <c r="E228" s="412"/>
      <c r="F228" s="398"/>
    </row>
    <row r="229" spans="1:256" ht="45" customHeight="1">
      <c r="A229" s="420" t="s">
        <v>329</v>
      </c>
      <c r="B229" s="421" t="s">
        <v>598</v>
      </c>
      <c r="C229" s="421" t="s">
        <v>599</v>
      </c>
      <c r="D229" s="421" t="s">
        <v>671</v>
      </c>
      <c r="E229" s="421" t="s">
        <v>643</v>
      </c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4.25">
      <c r="A230" s="422" t="s">
        <v>42</v>
      </c>
      <c r="B230" s="423"/>
      <c r="C230" s="423"/>
      <c r="D230" s="423"/>
      <c r="E230" s="423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t="14.25">
      <c r="A231" s="422" t="s">
        <v>44</v>
      </c>
      <c r="B231" s="423"/>
      <c r="C231" s="423"/>
      <c r="D231" s="423"/>
      <c r="E231" s="42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4.25">
      <c r="A232" s="422" t="s">
        <v>607</v>
      </c>
      <c r="B232" s="423"/>
      <c r="C232" s="423"/>
      <c r="D232" s="423"/>
      <c r="E232" s="42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t="14.25">
      <c r="A233" s="422" t="s">
        <v>144</v>
      </c>
      <c r="B233" s="423">
        <v>233682</v>
      </c>
      <c r="C233" s="423"/>
      <c r="D233" s="423"/>
      <c r="E233" s="42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t="14.25">
      <c r="A234" s="422" t="s">
        <v>608</v>
      </c>
      <c r="B234" s="423"/>
      <c r="C234" s="423"/>
      <c r="D234" s="423"/>
      <c r="E234" s="423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4.25">
      <c r="A235" s="422" t="s">
        <v>609</v>
      </c>
      <c r="B235" s="423"/>
      <c r="C235" s="423"/>
      <c r="D235" s="423"/>
      <c r="E235" s="423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4.25">
      <c r="A236" s="424" t="s">
        <v>610</v>
      </c>
      <c r="B236" s="425">
        <v>233682</v>
      </c>
      <c r="C236" s="425">
        <f>SUM(C230:C235)</f>
        <v>0</v>
      </c>
      <c r="D236" s="425">
        <f>SUM(D230:D235)</f>
        <v>0</v>
      </c>
      <c r="E236" s="425">
        <f>SUM(E230:E235)</f>
        <v>0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t="14.25">
      <c r="A237" s="422" t="s">
        <v>672</v>
      </c>
      <c r="B237" s="423">
        <v>259000</v>
      </c>
      <c r="C237" s="423"/>
      <c r="D237" s="423"/>
      <c r="E237" s="42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14.25">
      <c r="A238" s="422" t="s">
        <v>647</v>
      </c>
      <c r="B238" s="423"/>
      <c r="C238" s="423"/>
      <c r="D238" s="423"/>
      <c r="E238" s="42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14.25">
      <c r="A239" s="422" t="s">
        <v>620</v>
      </c>
      <c r="B239" s="423"/>
      <c r="C239" s="423"/>
      <c r="D239" s="423"/>
      <c r="E239" s="42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4.25">
      <c r="A240" s="422" t="s">
        <v>673</v>
      </c>
      <c r="B240" s="423"/>
      <c r="C240" s="423"/>
      <c r="D240" s="423"/>
      <c r="E240" s="423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4.25">
      <c r="A241" s="424" t="s">
        <v>615</v>
      </c>
      <c r="B241" s="425">
        <v>259000</v>
      </c>
      <c r="C241" s="425">
        <f>SUM(C237:C240)</f>
        <v>0</v>
      </c>
      <c r="D241" s="425">
        <f>SUM(D237:D240)</f>
        <v>0</v>
      </c>
      <c r="E241" s="425">
        <f>SUM(E237:E240)</f>
        <v>0</v>
      </c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6" s="400" customFormat="1" ht="37.5" customHeight="1">
      <c r="A242" s="412" t="s">
        <v>680</v>
      </c>
      <c r="B242" s="412"/>
      <c r="C242" s="412"/>
      <c r="D242" s="412"/>
      <c r="E242" s="412"/>
      <c r="F242" s="398"/>
    </row>
    <row r="243" spans="1:256" ht="45" customHeight="1">
      <c r="A243" s="420" t="s">
        <v>329</v>
      </c>
      <c r="B243" s="421" t="s">
        <v>598</v>
      </c>
      <c r="C243" s="421" t="s">
        <v>599</v>
      </c>
      <c r="D243" s="421" t="s">
        <v>671</v>
      </c>
      <c r="E243" s="421" t="s">
        <v>643</v>
      </c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4.25">
      <c r="A244" s="422" t="s">
        <v>42</v>
      </c>
      <c r="B244" s="423">
        <v>5300000</v>
      </c>
      <c r="C244" s="423">
        <v>5300000</v>
      </c>
      <c r="D244" s="423"/>
      <c r="E244" s="423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t="14.25">
      <c r="A245" s="422" t="s">
        <v>44</v>
      </c>
      <c r="B245" s="423"/>
      <c r="C245" s="423"/>
      <c r="D245" s="423"/>
      <c r="E245" s="423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4.25">
      <c r="A246" s="422" t="s">
        <v>607</v>
      </c>
      <c r="B246" s="423"/>
      <c r="C246" s="423"/>
      <c r="D246" s="423"/>
      <c r="E246" s="423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t="14.25">
      <c r="A247" s="422" t="s">
        <v>608</v>
      </c>
      <c r="B247" s="423">
        <v>9278500</v>
      </c>
      <c r="C247" s="423">
        <v>6648597</v>
      </c>
      <c r="D247" s="423">
        <v>4429903</v>
      </c>
      <c r="E247" s="423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t="14.25">
      <c r="A248" s="422" t="s">
        <v>675</v>
      </c>
      <c r="B248" s="423">
        <v>3378000</v>
      </c>
      <c r="C248" s="423">
        <v>1800000</v>
      </c>
      <c r="D248" s="423">
        <v>1578000</v>
      </c>
      <c r="E248" s="423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t="14.25">
      <c r="A249" s="424" t="s">
        <v>610</v>
      </c>
      <c r="B249" s="425">
        <f>SUM(B244:B248)</f>
        <v>17956500</v>
      </c>
      <c r="C249" s="425">
        <f>SUM(C244:C248)</f>
        <v>13748597</v>
      </c>
      <c r="D249" s="425">
        <f>SUM(D244:D248)</f>
        <v>6007903</v>
      </c>
      <c r="E249" s="425">
        <f>SUM(E244:E248)</f>
        <v>0</v>
      </c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14.25">
      <c r="A250" s="422" t="s">
        <v>672</v>
      </c>
      <c r="B250" s="423">
        <v>13467375</v>
      </c>
      <c r="C250" s="423">
        <v>7883124</v>
      </c>
      <c r="D250" s="423">
        <v>5584221</v>
      </c>
      <c r="E250" s="423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4.25">
      <c r="A251" s="422" t="s">
        <v>647</v>
      </c>
      <c r="B251" s="423">
        <v>4489125</v>
      </c>
      <c r="C251" s="423">
        <v>4489125</v>
      </c>
      <c r="D251" s="423"/>
      <c r="E251" s="423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t="14.25">
      <c r="A252" s="422" t="s">
        <v>620</v>
      </c>
      <c r="B252" s="423"/>
      <c r="C252" s="423"/>
      <c r="D252" s="423"/>
      <c r="E252" s="423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t="14.25">
      <c r="A253" s="422" t="s">
        <v>673</v>
      </c>
      <c r="B253" s="423"/>
      <c r="C253" s="423"/>
      <c r="D253" s="423"/>
      <c r="E253" s="42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t="14.25">
      <c r="A254" s="424" t="s">
        <v>615</v>
      </c>
      <c r="B254" s="425">
        <f>SUM(B250:B253)</f>
        <v>17956500</v>
      </c>
      <c r="C254" s="425">
        <f>SUM(C250:C253)</f>
        <v>12372249</v>
      </c>
      <c r="D254" s="425">
        <f>SUM(D250:D253)</f>
        <v>5584221</v>
      </c>
      <c r="E254" s="425">
        <f>SUM(E250:E253)</f>
        <v>0</v>
      </c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6" s="400" customFormat="1" ht="37.5" customHeight="1">
      <c r="A255" s="412" t="s">
        <v>681</v>
      </c>
      <c r="B255" s="412"/>
      <c r="C255" s="412"/>
      <c r="D255" s="412"/>
      <c r="E255" s="412"/>
      <c r="F255" s="398"/>
    </row>
    <row r="256" spans="1:256" ht="36.75">
      <c r="A256" s="420" t="s">
        <v>329</v>
      </c>
      <c r="B256" s="421" t="s">
        <v>598</v>
      </c>
      <c r="C256" s="421" t="s">
        <v>599</v>
      </c>
      <c r="D256" s="421" t="s">
        <v>671</v>
      </c>
      <c r="E256" s="421" t="s">
        <v>643</v>
      </c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t="14.25">
      <c r="A257" s="422" t="s">
        <v>42</v>
      </c>
      <c r="B257" s="423"/>
      <c r="C257" s="423"/>
      <c r="D257" s="423"/>
      <c r="E257" s="423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4.25">
      <c r="A258" s="422" t="s">
        <v>44</v>
      </c>
      <c r="B258" s="423"/>
      <c r="C258" s="423"/>
      <c r="D258" s="423"/>
      <c r="E258" s="423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4.25">
      <c r="A259" s="422" t="s">
        <v>607</v>
      </c>
      <c r="B259" s="423"/>
      <c r="C259" s="423"/>
      <c r="D259" s="423"/>
      <c r="E259" s="423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t="14.25">
      <c r="A260" s="422" t="s">
        <v>608</v>
      </c>
      <c r="B260" s="423">
        <v>3060000</v>
      </c>
      <c r="C260" s="423"/>
      <c r="D260" s="423">
        <v>2448000</v>
      </c>
      <c r="E260" s="423">
        <v>612000</v>
      </c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14.25">
      <c r="A261" s="422" t="s">
        <v>675</v>
      </c>
      <c r="B261" s="423"/>
      <c r="C261" s="423"/>
      <c r="D261" s="423"/>
      <c r="E261" s="423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14.25">
      <c r="A262" s="424" t="s">
        <v>610</v>
      </c>
      <c r="B262" s="425">
        <f>SUM(B257:B261)</f>
        <v>3060000</v>
      </c>
      <c r="C262" s="425">
        <f>SUM(C257:C261)</f>
        <v>0</v>
      </c>
      <c r="D262" s="425">
        <f>SUM(D257:D261)</f>
        <v>2448000</v>
      </c>
      <c r="E262" s="425">
        <f>SUM(E257:E261)</f>
        <v>612000</v>
      </c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4.25">
      <c r="A263" s="422" t="s">
        <v>672</v>
      </c>
      <c r="B263" s="423">
        <v>3060000</v>
      </c>
      <c r="C263" s="423"/>
      <c r="D263" s="423">
        <v>2448000</v>
      </c>
      <c r="E263" s="423">
        <v>612000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4.25">
      <c r="A264" s="422" t="s">
        <v>647</v>
      </c>
      <c r="B264" s="423"/>
      <c r="C264" s="423"/>
      <c r="D264" s="423"/>
      <c r="E264" s="423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4.25">
      <c r="A265" s="422" t="s">
        <v>620</v>
      </c>
      <c r="B265" s="423"/>
      <c r="C265" s="423"/>
      <c r="D265" s="423"/>
      <c r="E265" s="423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4.25">
      <c r="A266" s="422" t="s">
        <v>673</v>
      </c>
      <c r="B266" s="423"/>
      <c r="C266" s="423"/>
      <c r="D266" s="423"/>
      <c r="E266" s="423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t="14.25">
      <c r="A267" s="424" t="s">
        <v>615</v>
      </c>
      <c r="B267" s="425">
        <f>SUM(B263:B266)</f>
        <v>3060000</v>
      </c>
      <c r="C267" s="425">
        <f>SUM(C263:C266)</f>
        <v>0</v>
      </c>
      <c r="D267" s="425">
        <f>SUM(D263:D266)</f>
        <v>2448000</v>
      </c>
      <c r="E267" s="425">
        <f>SUM(E263:E266)</f>
        <v>612000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</sheetData>
  <sheetProtection selectLockedCells="1" selectUnlockedCells="1"/>
  <mergeCells count="17">
    <mergeCell ref="A1:E1"/>
    <mergeCell ref="A17:E17"/>
    <mergeCell ref="A39:E39"/>
    <mergeCell ref="A53:E53"/>
    <mergeCell ref="A69:E69"/>
    <mergeCell ref="A88:E88"/>
    <mergeCell ref="A105:E105"/>
    <mergeCell ref="A120:E120"/>
    <mergeCell ref="A136:E136"/>
    <mergeCell ref="A150:E150"/>
    <mergeCell ref="A165:E165"/>
    <mergeCell ref="A179:E179"/>
    <mergeCell ref="A197:E197"/>
    <mergeCell ref="A212:E212"/>
    <mergeCell ref="A228:E228"/>
    <mergeCell ref="A242:E242"/>
    <mergeCell ref="A255:E255"/>
  </mergeCells>
  <printOptions gridLines="1" horizontalCentered="1" verticalCentered="1"/>
  <pageMargins left="0.43333333333333335" right="0.39375" top="0.7083333333333333" bottom="0.4722222222222222" header="0.2361111111111111" footer="0.5118055555555555"/>
  <pageSetup horizontalDpi="300" verticalDpi="300" orientation="portrait" paperSize="9"/>
  <headerFooter alignWithMargins="0">
    <oddHeader>&amp;C&amp;"Arial,Félkövér"&amp;12Európai uniós támogatással megvalósuló programok
 bevételeinek és kiadásainak bemutatása&amp;R&amp;"Arial,Normál"8. számú táblázat
adatok EFt-ban</oddHeader>
  </headerFooter>
  <rowBreaks count="7" manualBreakCount="7">
    <brk id="38" max="255" man="1"/>
    <brk id="68" max="255" man="1"/>
    <brk id="104" max="255" man="1"/>
    <brk id="135" max="255" man="1"/>
    <brk id="164" max="255" man="1"/>
    <brk id="196" max="255" man="1"/>
    <brk id="2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9"/>
  <sheetViews>
    <sheetView zoomScale="75" zoomScaleNormal="75" workbookViewId="0" topLeftCell="A1">
      <selection activeCell="R28" sqref="R28"/>
    </sheetView>
  </sheetViews>
  <sheetFormatPr defaultColWidth="12.57421875" defaultRowHeight="15"/>
  <cols>
    <col min="1" max="1" width="40.8515625" style="67" customWidth="1"/>
    <col min="2" max="3" width="14.7109375" style="68" customWidth="1"/>
    <col min="4" max="4" width="14.421875" style="68" customWidth="1"/>
    <col min="5" max="5" width="31.7109375" style="68" customWidth="1"/>
    <col min="6" max="6" width="14.28125" style="68" customWidth="1"/>
    <col min="7" max="7" width="13.7109375" style="68" customWidth="1"/>
    <col min="8" max="8" width="14.421875" style="68" customWidth="1"/>
    <col min="9" max="9" width="15.57421875" style="69" customWidth="1"/>
    <col min="10" max="10" width="9.421875" style="68" customWidth="1"/>
    <col min="11" max="11" width="20.140625" style="68" customWidth="1"/>
    <col min="12" max="16384" width="11.57421875" style="68" customWidth="1"/>
  </cols>
  <sheetData>
    <row r="1" spans="1:8" s="68" customFormat="1" ht="66" customHeight="1">
      <c r="A1" s="70" t="s">
        <v>0</v>
      </c>
      <c r="B1" s="71" t="s">
        <v>63</v>
      </c>
      <c r="C1" s="72" t="s">
        <v>64</v>
      </c>
      <c r="D1" s="73" t="s">
        <v>65</v>
      </c>
      <c r="E1" s="74" t="s">
        <v>8</v>
      </c>
      <c r="F1" s="71" t="s">
        <v>63</v>
      </c>
      <c r="G1" s="72" t="s">
        <v>64</v>
      </c>
      <c r="H1" s="73" t="s">
        <v>65</v>
      </c>
    </row>
    <row r="2" spans="1:8" s="68" customFormat="1" ht="30" customHeight="1">
      <c r="A2" s="75" t="s">
        <v>10</v>
      </c>
      <c r="B2" s="76">
        <f>SUM(B3:B8)-B5</f>
        <v>10800</v>
      </c>
      <c r="C2" s="76">
        <f>SUM(C3+C4+C6+C7+C8)</f>
        <v>969</v>
      </c>
      <c r="D2" s="77">
        <f>SUM(D3+D4+D6+D7+D8)</f>
        <v>11769</v>
      </c>
      <c r="E2" s="75" t="s">
        <v>11</v>
      </c>
      <c r="F2" s="76">
        <f>SUM(F3:F8)</f>
        <v>10301</v>
      </c>
      <c r="G2" s="78">
        <f>SUM(G3+G4+G5+G6+G7+G8)</f>
        <v>969</v>
      </c>
      <c r="H2" s="77">
        <f>SUM(H3+H4+H5+H6+H7+H8)</f>
        <v>11270</v>
      </c>
    </row>
    <row r="3" spans="1:8" s="68" customFormat="1" ht="30" customHeight="1">
      <c r="A3" s="79" t="s">
        <v>14</v>
      </c>
      <c r="B3" s="80">
        <v>140</v>
      </c>
      <c r="C3" s="80">
        <v>86</v>
      </c>
      <c r="D3" s="81">
        <v>226</v>
      </c>
      <c r="E3" s="82" t="s">
        <v>13</v>
      </c>
      <c r="F3" s="83">
        <v>3176</v>
      </c>
      <c r="G3" s="84">
        <v>1063</v>
      </c>
      <c r="H3" s="85">
        <v>4239</v>
      </c>
    </row>
    <row r="4" spans="1:9" ht="30" customHeight="1">
      <c r="A4" s="79" t="s">
        <v>18</v>
      </c>
      <c r="B4" s="86">
        <v>7309</v>
      </c>
      <c r="C4" s="86">
        <v>873</v>
      </c>
      <c r="D4" s="81">
        <v>8182</v>
      </c>
      <c r="E4" s="82" t="s">
        <v>15</v>
      </c>
      <c r="F4" s="83">
        <v>738</v>
      </c>
      <c r="G4" s="84">
        <v>482</v>
      </c>
      <c r="H4" s="85">
        <v>1220</v>
      </c>
      <c r="I4" s="87">
        <f>368447+87534+31275+3195+84+86+86</f>
        <v>490707</v>
      </c>
    </row>
    <row r="5" spans="1:19" s="68" customFormat="1" ht="30" customHeight="1">
      <c r="A5" s="88" t="s">
        <v>66</v>
      </c>
      <c r="B5" s="86">
        <v>5300</v>
      </c>
      <c r="C5" s="89">
        <v>250</v>
      </c>
      <c r="D5" s="90">
        <v>5550</v>
      </c>
      <c r="E5" s="82" t="s">
        <v>17</v>
      </c>
      <c r="F5" s="83">
        <v>1424</v>
      </c>
      <c r="G5" s="84">
        <v>1096</v>
      </c>
      <c r="H5" s="85">
        <v>2520</v>
      </c>
      <c r="S5" s="68">
        <f>+-20896+167669+1096+809+621</f>
        <v>149299</v>
      </c>
    </row>
    <row r="6" spans="1:9" ht="30" customHeight="1">
      <c r="A6" s="79" t="s">
        <v>67</v>
      </c>
      <c r="B6" s="86">
        <v>20</v>
      </c>
      <c r="C6" s="86"/>
      <c r="D6" s="81">
        <v>20</v>
      </c>
      <c r="E6" s="82" t="s">
        <v>68</v>
      </c>
      <c r="F6" s="83">
        <v>0</v>
      </c>
      <c r="G6" s="84"/>
      <c r="H6" s="85"/>
      <c r="I6" s="68">
        <f>-23663+27862+873+850+1000</f>
        <v>6922</v>
      </c>
    </row>
    <row r="7" spans="1:8" s="68" customFormat="1" ht="30" customHeight="1">
      <c r="A7" s="79" t="s">
        <v>24</v>
      </c>
      <c r="B7" s="86">
        <v>866</v>
      </c>
      <c r="C7" s="86">
        <v>10</v>
      </c>
      <c r="D7" s="81">
        <v>876</v>
      </c>
      <c r="E7" s="91" t="s">
        <v>69</v>
      </c>
      <c r="F7" s="83">
        <v>0</v>
      </c>
      <c r="G7" s="84">
        <v>800</v>
      </c>
      <c r="H7" s="85">
        <v>800</v>
      </c>
    </row>
    <row r="8" spans="1:8" s="68" customFormat="1" ht="30" customHeight="1">
      <c r="A8" s="79" t="s">
        <v>70</v>
      </c>
      <c r="B8" s="86">
        <v>2465</v>
      </c>
      <c r="C8" s="86"/>
      <c r="D8" s="81">
        <v>2465</v>
      </c>
      <c r="E8" s="82" t="s">
        <v>29</v>
      </c>
      <c r="F8" s="83">
        <v>4963</v>
      </c>
      <c r="G8" s="84">
        <v>-2472</v>
      </c>
      <c r="H8" s="85">
        <v>2491</v>
      </c>
    </row>
    <row r="9" spans="1:8" s="68" customFormat="1" ht="30" customHeight="1">
      <c r="A9" s="79"/>
      <c r="B9" s="86"/>
      <c r="C9" s="86"/>
      <c r="D9" s="81"/>
      <c r="E9" s="82"/>
      <c r="F9" s="83"/>
      <c r="G9" s="84"/>
      <c r="H9" s="92"/>
    </row>
    <row r="10" spans="1:8" s="68" customFormat="1" ht="30" customHeight="1">
      <c r="A10" s="79"/>
      <c r="B10" s="86"/>
      <c r="C10" s="86"/>
      <c r="D10" s="81"/>
      <c r="E10" s="82"/>
      <c r="F10" s="83"/>
      <c r="G10" s="84"/>
      <c r="H10" s="92"/>
    </row>
    <row r="11" spans="1:8" s="68" customFormat="1" ht="30" customHeight="1">
      <c r="A11" s="93" t="s">
        <v>39</v>
      </c>
      <c r="B11" s="94">
        <v>0</v>
      </c>
      <c r="C11" s="94">
        <v>0</v>
      </c>
      <c r="D11" s="95">
        <v>0</v>
      </c>
      <c r="E11" s="93" t="s">
        <v>40</v>
      </c>
      <c r="F11" s="76">
        <v>499</v>
      </c>
      <c r="G11" s="78"/>
      <c r="H11" s="77">
        <v>499</v>
      </c>
    </row>
    <row r="12" spans="1:8" s="68" customFormat="1" ht="30" customHeight="1">
      <c r="A12" s="93"/>
      <c r="B12" s="94"/>
      <c r="C12" s="94"/>
      <c r="D12" s="95"/>
      <c r="E12" s="96" t="s">
        <v>42</v>
      </c>
      <c r="F12" s="97">
        <v>499</v>
      </c>
      <c r="G12" s="98"/>
      <c r="H12" s="99">
        <v>499</v>
      </c>
    </row>
    <row r="13" spans="1:8" s="68" customFormat="1" ht="30" customHeight="1">
      <c r="A13" s="93" t="s">
        <v>61</v>
      </c>
      <c r="B13" s="76">
        <f>+B11+B2</f>
        <v>10800</v>
      </c>
      <c r="C13" s="76">
        <f>SUM(C3+C4+C6+C7+C8+C11)</f>
        <v>969</v>
      </c>
      <c r="D13" s="77">
        <f>SUM(D3+D4+D6+D7+D8+D11)</f>
        <v>11769</v>
      </c>
      <c r="E13" s="100" t="s">
        <v>62</v>
      </c>
      <c r="F13" s="101">
        <f>SUM(F11+F2)</f>
        <v>10800</v>
      </c>
      <c r="G13" s="102">
        <f>SUM(G2+G11)</f>
        <v>969</v>
      </c>
      <c r="H13" s="103">
        <f>SUM(H2+H11)</f>
        <v>11769</v>
      </c>
    </row>
    <row r="14" ht="14.25">
      <c r="I14" s="104"/>
    </row>
    <row r="17" s="68" customFormat="1" ht="13.5">
      <c r="H17" s="105"/>
    </row>
    <row r="19" ht="14.25">
      <c r="S19" s="68">
        <f>80+115574+-62737</f>
        <v>52917</v>
      </c>
    </row>
  </sheetData>
  <sheetProtection selectLockedCells="1" selectUnlockedCells="1"/>
  <printOptions horizontalCentered="1" verticalCentered="1"/>
  <pageMargins left="0.19652777777777777" right="0.2361111111111111" top="1.4958333333333331" bottom="0.19652777777777777" header="0.9840277777777777" footer="0.5118055555555555"/>
  <pageSetup horizontalDpi="300" verticalDpi="300" orientation="landscape" paperSize="9" scale="78"/>
  <headerFooter alignWithMargins="0">
    <oddHeader xml:space="preserve">&amp;C&amp;"Arial,Félkövér"Cigány Helyi Kisebbségi Önkormányzat
2008. évi költségvetésének  módosítása&amp;R1/a. számú táblázat    
adatok E Ft-ban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B2">
      <selection activeCell="R28" sqref="R28"/>
    </sheetView>
  </sheetViews>
  <sheetFormatPr defaultColWidth="12.57421875" defaultRowHeight="15"/>
  <cols>
    <col min="1" max="1" width="40.8515625" style="67" customWidth="1"/>
    <col min="2" max="3" width="14.7109375" style="68" customWidth="1"/>
    <col min="4" max="4" width="14.421875" style="68" customWidth="1"/>
    <col min="5" max="5" width="31.7109375" style="68" customWidth="1"/>
    <col min="6" max="6" width="14.28125" style="68" customWidth="1"/>
    <col min="7" max="7" width="13.7109375" style="68" customWidth="1"/>
    <col min="8" max="8" width="14.421875" style="68" customWidth="1"/>
    <col min="9" max="9" width="15.57421875" style="69" customWidth="1"/>
    <col min="10" max="10" width="9.421875" style="68" customWidth="1"/>
    <col min="11" max="11" width="20.140625" style="68" customWidth="1"/>
    <col min="12" max="16384" width="11.57421875" style="68" customWidth="1"/>
  </cols>
  <sheetData>
    <row r="1" spans="1:8" s="68" customFormat="1" ht="66" customHeight="1">
      <c r="A1" s="70" t="s">
        <v>0</v>
      </c>
      <c r="B1" s="71" t="s">
        <v>71</v>
      </c>
      <c r="C1" s="72" t="s">
        <v>64</v>
      </c>
      <c r="D1" s="73" t="s">
        <v>72</v>
      </c>
      <c r="E1" s="74" t="s">
        <v>8</v>
      </c>
      <c r="F1" s="71" t="s">
        <v>71</v>
      </c>
      <c r="G1" s="72" t="s">
        <v>64</v>
      </c>
      <c r="H1" s="73" t="s">
        <v>72</v>
      </c>
    </row>
    <row r="2" spans="1:8" s="68" customFormat="1" ht="30" customHeight="1">
      <c r="A2" s="75" t="s">
        <v>10</v>
      </c>
      <c r="B2" s="76">
        <f>SUM(B3:B8)-B5</f>
        <v>4080</v>
      </c>
      <c r="C2" s="76">
        <f>SUM(C3+C4+C6+C7+C8)</f>
        <v>1143</v>
      </c>
      <c r="D2" s="77">
        <f>SUM(D3+D4+D6+D7+D8)</f>
        <v>5223</v>
      </c>
      <c r="E2" s="75" t="s">
        <v>11</v>
      </c>
      <c r="F2" s="76">
        <f>SUM(F3:F8)</f>
        <v>3830</v>
      </c>
      <c r="G2" s="76">
        <f>SUM(G3:G8)</f>
        <v>643</v>
      </c>
      <c r="H2" s="76">
        <f>SUM(H3:H8)</f>
        <v>4473</v>
      </c>
    </row>
    <row r="3" spans="1:8" s="68" customFormat="1" ht="30" customHeight="1">
      <c r="A3" s="79" t="s">
        <v>14</v>
      </c>
      <c r="B3" s="80">
        <v>18</v>
      </c>
      <c r="C3" s="80">
        <v>86</v>
      </c>
      <c r="D3" s="81">
        <f aca="true" t="shared" si="0" ref="D3:D8">SUM(B3:C3)</f>
        <v>104</v>
      </c>
      <c r="E3" s="82" t="s">
        <v>13</v>
      </c>
      <c r="F3" s="83">
        <v>358</v>
      </c>
      <c r="G3" s="84">
        <v>272</v>
      </c>
      <c r="H3" s="85">
        <f>358+272</f>
        <v>630</v>
      </c>
    </row>
    <row r="4" spans="1:9" ht="30" customHeight="1">
      <c r="A4" s="79" t="s">
        <v>18</v>
      </c>
      <c r="B4" s="86">
        <v>1600</v>
      </c>
      <c r="C4" s="86">
        <v>1000</v>
      </c>
      <c r="D4" s="81">
        <f t="shared" si="0"/>
        <v>2600</v>
      </c>
      <c r="E4" s="82" t="s">
        <v>15</v>
      </c>
      <c r="F4" s="83">
        <v>0</v>
      </c>
      <c r="G4" s="84">
        <v>92</v>
      </c>
      <c r="H4" s="85">
        <f>21+71</f>
        <v>92</v>
      </c>
      <c r="I4" s="87">
        <f>368447+87534+31275+3195+84+86+86</f>
        <v>490707</v>
      </c>
    </row>
    <row r="5" spans="1:19" s="68" customFormat="1" ht="30" customHeight="1">
      <c r="A5" s="106" t="s">
        <v>73</v>
      </c>
      <c r="B5" s="107">
        <v>1500</v>
      </c>
      <c r="C5" s="107">
        <v>1000</v>
      </c>
      <c r="D5" s="81">
        <f t="shared" si="0"/>
        <v>2500</v>
      </c>
      <c r="E5" s="82" t="s">
        <v>17</v>
      </c>
      <c r="F5" s="83">
        <v>2280</v>
      </c>
      <c r="G5" s="84">
        <v>809</v>
      </c>
      <c r="H5" s="85">
        <f>202+155+2250+482</f>
        <v>3089</v>
      </c>
      <c r="S5" s="68">
        <f>+-20896+167669+1096+809+621</f>
        <v>149299</v>
      </c>
    </row>
    <row r="6" spans="1:9" ht="30" customHeight="1">
      <c r="A6" s="79" t="s">
        <v>67</v>
      </c>
      <c r="B6" s="86">
        <v>0</v>
      </c>
      <c r="C6" s="86">
        <v>50</v>
      </c>
      <c r="D6" s="81">
        <f t="shared" si="0"/>
        <v>50</v>
      </c>
      <c r="E6" s="82" t="s">
        <v>68</v>
      </c>
      <c r="F6" s="83">
        <v>0</v>
      </c>
      <c r="G6" s="84"/>
      <c r="H6" s="85">
        <f>SUM(F6:G6)</f>
        <v>0</v>
      </c>
      <c r="I6" s="68">
        <f>-23663+27862+873+850+1000</f>
        <v>6922</v>
      </c>
    </row>
    <row r="7" spans="1:8" s="68" customFormat="1" ht="30" customHeight="1">
      <c r="A7" s="79" t="s">
        <v>24</v>
      </c>
      <c r="B7" s="86">
        <v>769</v>
      </c>
      <c r="C7" s="86">
        <v>7</v>
      </c>
      <c r="D7" s="81">
        <f t="shared" si="0"/>
        <v>776</v>
      </c>
      <c r="E7" s="91" t="s">
        <v>69</v>
      </c>
      <c r="F7" s="83">
        <v>0</v>
      </c>
      <c r="G7" s="84">
        <v>62</v>
      </c>
      <c r="H7" s="85">
        <v>62</v>
      </c>
    </row>
    <row r="8" spans="1:8" s="68" customFormat="1" ht="30" customHeight="1">
      <c r="A8" s="79" t="s">
        <v>70</v>
      </c>
      <c r="B8" s="86">
        <v>1693</v>
      </c>
      <c r="C8" s="86">
        <v>0</v>
      </c>
      <c r="D8" s="81">
        <f t="shared" si="0"/>
        <v>1693</v>
      </c>
      <c r="E8" s="82" t="s">
        <v>29</v>
      </c>
      <c r="F8" s="83">
        <v>1192</v>
      </c>
      <c r="G8" s="84">
        <v>-592</v>
      </c>
      <c r="H8" s="85">
        <f>SUM(F8:G8)</f>
        <v>600</v>
      </c>
    </row>
    <row r="9" spans="1:8" s="68" customFormat="1" ht="30" customHeight="1">
      <c r="A9" s="79"/>
      <c r="B9" s="86"/>
      <c r="C9" s="86"/>
      <c r="D9" s="81"/>
      <c r="E9" s="82"/>
      <c r="F9" s="83"/>
      <c r="G9" s="84"/>
      <c r="H9" s="92"/>
    </row>
    <row r="10" spans="1:8" s="68" customFormat="1" ht="30" customHeight="1">
      <c r="A10" s="79"/>
      <c r="B10" s="86"/>
      <c r="C10" s="86"/>
      <c r="D10" s="81"/>
      <c r="E10" s="82"/>
      <c r="F10" s="83"/>
      <c r="G10" s="84"/>
      <c r="H10" s="92"/>
    </row>
    <row r="11" spans="1:8" s="68" customFormat="1" ht="30" customHeight="1">
      <c r="A11" s="93" t="s">
        <v>39</v>
      </c>
      <c r="B11" s="94">
        <v>0</v>
      </c>
      <c r="C11" s="94">
        <v>0</v>
      </c>
      <c r="D11" s="95">
        <v>0</v>
      </c>
      <c r="E11" s="93" t="s">
        <v>40</v>
      </c>
      <c r="F11" s="76">
        <f>SUM(F12)</f>
        <v>250</v>
      </c>
      <c r="G11" s="76">
        <f>SUM(G12)</f>
        <v>500</v>
      </c>
      <c r="H11" s="76">
        <f>SUM(H12)</f>
        <v>750</v>
      </c>
    </row>
    <row r="12" spans="1:8" s="68" customFormat="1" ht="30" customHeight="1">
      <c r="A12" s="93"/>
      <c r="B12" s="94"/>
      <c r="C12" s="94"/>
      <c r="D12" s="95"/>
      <c r="E12" s="96" t="s">
        <v>46</v>
      </c>
      <c r="F12" s="97">
        <v>250</v>
      </c>
      <c r="G12" s="98">
        <v>500</v>
      </c>
      <c r="H12" s="99">
        <f>SUM(F12:G12)</f>
        <v>750</v>
      </c>
    </row>
    <row r="13" spans="1:8" s="68" customFormat="1" ht="30" customHeight="1">
      <c r="A13" s="93" t="s">
        <v>61</v>
      </c>
      <c r="B13" s="76">
        <f>+B11+B2</f>
        <v>4080</v>
      </c>
      <c r="C13" s="76">
        <f>SUM(C3+C4+C6+C7+C8+C11)</f>
        <v>1143</v>
      </c>
      <c r="D13" s="77">
        <f>SUM(D3+D4+D6+D7+D8+D11)</f>
        <v>5223</v>
      </c>
      <c r="E13" s="100" t="s">
        <v>62</v>
      </c>
      <c r="F13" s="101">
        <f>SUM(F11+F2)</f>
        <v>4080</v>
      </c>
      <c r="G13" s="102">
        <f>SUM(G2+G11)</f>
        <v>1143</v>
      </c>
      <c r="H13" s="103">
        <f>SUM(H2+H11)</f>
        <v>5223</v>
      </c>
    </row>
    <row r="14" ht="14.25">
      <c r="I14" s="104"/>
    </row>
    <row r="17" s="68" customFormat="1" ht="13.5">
      <c r="H17" s="105"/>
    </row>
    <row r="19" ht="14.25">
      <c r="S19" s="68">
        <f>80+115574+-62737</f>
        <v>52917</v>
      </c>
    </row>
  </sheetData>
  <sheetProtection selectLockedCells="1" selectUnlockedCells="1"/>
  <printOptions horizontalCentered="1" verticalCentered="1"/>
  <pageMargins left="0.19652777777777777" right="0.2361111111111111" top="1.4958333333333331" bottom="0.19652777777777777" header="0.9840277777777777" footer="0.5118055555555555"/>
  <pageSetup horizontalDpi="300" verticalDpi="300" orientation="landscape" paperSize="9" scale="78"/>
  <headerFooter alignWithMargins="0">
    <oddHeader xml:space="preserve">&amp;C&amp;"Arial,Félkövér"Német Helyi Kisebbségi Önkormányzat
2008. évi költségvetésének  módosítása&amp;R1/b. számú táblázat    
adatok E Ft-ban 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workbookViewId="0" topLeftCell="B7">
      <selection activeCell="R28" sqref="R28"/>
    </sheetView>
  </sheetViews>
  <sheetFormatPr defaultColWidth="12.57421875" defaultRowHeight="15"/>
  <cols>
    <col min="1" max="1" width="40.8515625" style="67" customWidth="1"/>
    <col min="2" max="3" width="14.7109375" style="68" customWidth="1"/>
    <col min="4" max="4" width="14.421875" style="68" customWidth="1"/>
    <col min="5" max="5" width="31.7109375" style="68" customWidth="1"/>
    <col min="6" max="6" width="14.28125" style="68" customWidth="1"/>
    <col min="7" max="7" width="13.7109375" style="68" customWidth="1"/>
    <col min="8" max="8" width="14.421875" style="68" customWidth="1"/>
    <col min="9" max="9" width="15.57421875" style="69" customWidth="1"/>
    <col min="10" max="10" width="9.421875" style="68" customWidth="1"/>
    <col min="11" max="11" width="20.140625" style="68" customWidth="1"/>
    <col min="12" max="16384" width="11.57421875" style="68" customWidth="1"/>
  </cols>
  <sheetData>
    <row r="1" spans="1:8" s="68" customFormat="1" ht="66" customHeight="1">
      <c r="A1" s="70" t="s">
        <v>0</v>
      </c>
      <c r="B1" s="71" t="s">
        <v>74</v>
      </c>
      <c r="C1" s="72" t="s">
        <v>64</v>
      </c>
      <c r="D1" s="73" t="s">
        <v>75</v>
      </c>
      <c r="E1" s="74" t="s">
        <v>8</v>
      </c>
      <c r="F1" s="71" t="s">
        <v>74</v>
      </c>
      <c r="G1" s="72" t="s">
        <v>64</v>
      </c>
      <c r="H1" s="73" t="s">
        <v>75</v>
      </c>
    </row>
    <row r="2" spans="1:8" s="68" customFormat="1" ht="30" customHeight="1">
      <c r="A2" s="75" t="s">
        <v>10</v>
      </c>
      <c r="B2" s="76">
        <f>SUM(B3:B8)-B5</f>
        <v>3655</v>
      </c>
      <c r="C2" s="76">
        <f>SUM(C3:C8)-C5</f>
        <v>938</v>
      </c>
      <c r="D2" s="76">
        <f>SUM(D3:D8)-D5</f>
        <v>4593</v>
      </c>
      <c r="E2" s="75" t="s">
        <v>11</v>
      </c>
      <c r="F2" s="76">
        <f>SUM(F3:F8)</f>
        <v>3405</v>
      </c>
      <c r="G2" s="76">
        <f>SUM(G3:G8)</f>
        <v>858</v>
      </c>
      <c r="H2" s="76">
        <f>SUM(H3:H8)</f>
        <v>4263</v>
      </c>
    </row>
    <row r="3" spans="1:8" s="68" customFormat="1" ht="30" customHeight="1">
      <c r="A3" s="79" t="s">
        <v>14</v>
      </c>
      <c r="B3" s="80">
        <v>47</v>
      </c>
      <c r="C3" s="80">
        <v>84</v>
      </c>
      <c r="D3" s="81">
        <f aca="true" t="shared" si="0" ref="D3:D8">SUM(B3:C3)</f>
        <v>131</v>
      </c>
      <c r="E3" s="82" t="s">
        <v>13</v>
      </c>
      <c r="F3" s="83">
        <v>405</v>
      </c>
      <c r="G3" s="84">
        <v>211</v>
      </c>
      <c r="H3" s="85">
        <f aca="true" t="shared" si="1" ref="H3:H8">SUM(F3:G3)</f>
        <v>616</v>
      </c>
    </row>
    <row r="4" spans="1:9" ht="30" customHeight="1">
      <c r="A4" s="79" t="s">
        <v>18</v>
      </c>
      <c r="B4" s="86">
        <v>1500</v>
      </c>
      <c r="C4" s="86">
        <v>850</v>
      </c>
      <c r="D4" s="81">
        <f t="shared" si="0"/>
        <v>2350</v>
      </c>
      <c r="E4" s="82" t="s">
        <v>15</v>
      </c>
      <c r="F4" s="83">
        <v>0</v>
      </c>
      <c r="G4" s="84">
        <v>26</v>
      </c>
      <c r="H4" s="85">
        <v>26</v>
      </c>
      <c r="I4" s="87">
        <f>368447+87534+31275+3195+84+86+86</f>
        <v>490707</v>
      </c>
    </row>
    <row r="5" spans="1:19" s="68" customFormat="1" ht="30" customHeight="1">
      <c r="A5" s="88" t="s">
        <v>66</v>
      </c>
      <c r="B5" s="86">
        <v>1500</v>
      </c>
      <c r="C5" s="89">
        <v>850</v>
      </c>
      <c r="D5" s="81">
        <f t="shared" si="0"/>
        <v>2350</v>
      </c>
      <c r="E5" s="82" t="s">
        <v>17</v>
      </c>
      <c r="F5" s="83">
        <v>2800</v>
      </c>
      <c r="G5" s="84">
        <f>-38+659</f>
        <v>621</v>
      </c>
      <c r="H5" s="85">
        <f t="shared" si="1"/>
        <v>3421</v>
      </c>
      <c r="S5" s="68">
        <f>+-20896+167669+1096+809+621</f>
        <v>149299</v>
      </c>
    </row>
    <row r="6" spans="1:9" ht="30" customHeight="1">
      <c r="A6" s="79" t="s">
        <v>67</v>
      </c>
      <c r="B6" s="86">
        <v>50</v>
      </c>
      <c r="C6" s="86"/>
      <c r="D6" s="81">
        <f t="shared" si="0"/>
        <v>50</v>
      </c>
      <c r="E6" s="82" t="s">
        <v>68</v>
      </c>
      <c r="F6" s="83">
        <v>0</v>
      </c>
      <c r="G6" s="84"/>
      <c r="H6" s="85">
        <f t="shared" si="1"/>
        <v>0</v>
      </c>
      <c r="I6" s="68">
        <f>-23663+27862+873+850+1000</f>
        <v>6922</v>
      </c>
    </row>
    <row r="7" spans="1:8" s="68" customFormat="1" ht="30" customHeight="1">
      <c r="A7" s="79" t="s">
        <v>24</v>
      </c>
      <c r="B7" s="86">
        <v>665</v>
      </c>
      <c r="C7" s="86">
        <v>4</v>
      </c>
      <c r="D7" s="81">
        <f t="shared" si="0"/>
        <v>669</v>
      </c>
      <c r="E7" s="91" t="s">
        <v>69</v>
      </c>
      <c r="F7" s="83">
        <v>0</v>
      </c>
      <c r="G7" s="84">
        <v>0</v>
      </c>
      <c r="H7" s="85">
        <f t="shared" si="1"/>
        <v>0</v>
      </c>
    </row>
    <row r="8" spans="1:8" s="68" customFormat="1" ht="30" customHeight="1">
      <c r="A8" s="79" t="s">
        <v>70</v>
      </c>
      <c r="B8" s="86">
        <v>1393</v>
      </c>
      <c r="C8" s="86"/>
      <c r="D8" s="81">
        <f t="shared" si="0"/>
        <v>1393</v>
      </c>
      <c r="E8" s="82" t="s">
        <v>29</v>
      </c>
      <c r="F8" s="83">
        <v>200</v>
      </c>
      <c r="G8" s="84">
        <v>0</v>
      </c>
      <c r="H8" s="85">
        <f t="shared" si="1"/>
        <v>200</v>
      </c>
    </row>
    <row r="9" spans="1:8" s="68" customFormat="1" ht="30" customHeight="1">
      <c r="A9" s="79"/>
      <c r="B9" s="86"/>
      <c r="C9" s="86"/>
      <c r="D9" s="81"/>
      <c r="E9" s="82"/>
      <c r="F9" s="83"/>
      <c r="G9" s="84"/>
      <c r="H9" s="92"/>
    </row>
    <row r="10" spans="1:8" s="68" customFormat="1" ht="30" customHeight="1">
      <c r="A10" s="79"/>
      <c r="B10" s="86"/>
      <c r="C10" s="86"/>
      <c r="D10" s="81"/>
      <c r="E10" s="82"/>
      <c r="F10" s="83"/>
      <c r="G10" s="84"/>
      <c r="H10" s="92"/>
    </row>
    <row r="11" spans="1:8" s="68" customFormat="1" ht="30" customHeight="1">
      <c r="A11" s="93" t="s">
        <v>39</v>
      </c>
      <c r="B11" s="94">
        <v>0</v>
      </c>
      <c r="C11" s="94">
        <v>0</v>
      </c>
      <c r="D11" s="95">
        <v>0</v>
      </c>
      <c r="E11" s="93" t="s">
        <v>40</v>
      </c>
      <c r="F11" s="76">
        <v>250</v>
      </c>
      <c r="G11" s="78">
        <v>80</v>
      </c>
      <c r="H11" s="77">
        <v>330</v>
      </c>
    </row>
    <row r="12" spans="1:8" s="68" customFormat="1" ht="30" customHeight="1">
      <c r="A12" s="93"/>
      <c r="B12" s="94"/>
      <c r="C12" s="94"/>
      <c r="D12" s="95"/>
      <c r="E12" s="96" t="s">
        <v>42</v>
      </c>
      <c r="F12" s="108">
        <v>250</v>
      </c>
      <c r="G12" s="98">
        <v>80</v>
      </c>
      <c r="H12" s="99">
        <v>330</v>
      </c>
    </row>
    <row r="13" spans="1:8" s="68" customFormat="1" ht="30" customHeight="1">
      <c r="A13" s="93" t="s">
        <v>61</v>
      </c>
      <c r="B13" s="76">
        <f>+B11+B2</f>
        <v>3655</v>
      </c>
      <c r="C13" s="76">
        <f>SUM(C3+C4+C6+C7+C8+C11)</f>
        <v>938</v>
      </c>
      <c r="D13" s="77">
        <f>SUM(D3+D4+D6+D7+D8+D11)</f>
        <v>4593</v>
      </c>
      <c r="E13" s="100" t="s">
        <v>62</v>
      </c>
      <c r="F13" s="101">
        <f>SUM(F11+F2)</f>
        <v>3655</v>
      </c>
      <c r="G13" s="102">
        <f>SUM(G2+G11)</f>
        <v>938</v>
      </c>
      <c r="H13" s="103">
        <f>SUM(H2+H11)</f>
        <v>4593</v>
      </c>
    </row>
    <row r="14" ht="14.25">
      <c r="I14" s="104"/>
    </row>
    <row r="17" s="68" customFormat="1" ht="13.5">
      <c r="H17" s="105"/>
    </row>
    <row r="19" ht="14.25">
      <c r="S19" s="68">
        <f>80+115574+-62737</f>
        <v>52917</v>
      </c>
    </row>
  </sheetData>
  <sheetProtection selectLockedCells="1" selectUnlockedCells="1"/>
  <printOptions horizontalCentered="1" verticalCentered="1"/>
  <pageMargins left="0.19652777777777777" right="0.2361111111111111" top="1.4958333333333331" bottom="0.19652777777777777" header="0.9840277777777777" footer="0.5118055555555555"/>
  <pageSetup horizontalDpi="300" verticalDpi="300" orientation="landscape" paperSize="9" scale="78"/>
  <headerFooter alignWithMargins="0">
    <oddHeader xml:space="preserve">&amp;C&amp;"Arial,Félkövér"Horvát Helyi Kisebbségi Önkormányzat
2008. évi költségvetésének  módosítása&amp;R1/c. számú táblázat    
adatok E Ft-ban  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39"/>
  <sheetViews>
    <sheetView tabSelected="1" zoomScale="120" zoomScaleNormal="120" zoomScaleSheetLayoutView="100" workbookViewId="0" topLeftCell="A1">
      <pane xSplit="2" ySplit="1" topLeftCell="K134" activePane="bottomRight" state="frozen"/>
      <selection pane="topLeft" activeCell="A1" sqref="A1"/>
      <selection pane="topRight" activeCell="K1" sqref="K1"/>
      <selection pane="bottomLeft" activeCell="A134" sqref="A134"/>
      <selection pane="bottomRight" activeCell="O57" sqref="O57"/>
    </sheetView>
  </sheetViews>
  <sheetFormatPr defaultColWidth="9.140625" defaultRowHeight="15"/>
  <cols>
    <col min="1" max="1" width="23.7109375" style="109" customWidth="1"/>
    <col min="2" max="2" width="15.7109375" style="109" customWidth="1"/>
    <col min="3" max="15" width="10.7109375" style="109" customWidth="1"/>
    <col min="16" max="16" width="9.8515625" style="109" customWidth="1"/>
    <col min="17" max="16384" width="9.140625" style="109" customWidth="1"/>
  </cols>
  <sheetData>
    <row r="1" spans="1:16" ht="81.75" customHeight="1">
      <c r="A1" s="110" t="s">
        <v>76</v>
      </c>
      <c r="B1" s="111" t="s">
        <v>77</v>
      </c>
      <c r="C1" s="110" t="s">
        <v>78</v>
      </c>
      <c r="D1" s="110" t="s">
        <v>79</v>
      </c>
      <c r="E1" s="110" t="s">
        <v>80</v>
      </c>
      <c r="F1" s="110" t="s">
        <v>81</v>
      </c>
      <c r="G1" s="110" t="s">
        <v>82</v>
      </c>
      <c r="H1" s="110" t="s">
        <v>83</v>
      </c>
      <c r="I1" s="110" t="s">
        <v>84</v>
      </c>
      <c r="J1" s="110" t="s">
        <v>85</v>
      </c>
      <c r="K1" s="110" t="s">
        <v>86</v>
      </c>
      <c r="L1" s="110" t="s">
        <v>87</v>
      </c>
      <c r="M1" s="110" t="s">
        <v>88</v>
      </c>
      <c r="N1" s="110" t="s">
        <v>89</v>
      </c>
      <c r="O1" s="110" t="s">
        <v>90</v>
      </c>
      <c r="P1" s="110" t="s">
        <v>91</v>
      </c>
    </row>
    <row r="2" spans="1:16" ht="14.25" customHeight="1">
      <c r="A2" s="112" t="s">
        <v>92</v>
      </c>
      <c r="B2" s="113" t="s">
        <v>93</v>
      </c>
      <c r="C2" s="114">
        <v>0</v>
      </c>
      <c r="D2" s="114">
        <v>19348</v>
      </c>
      <c r="E2" s="114">
        <v>706</v>
      </c>
      <c r="F2" s="114">
        <v>314045</v>
      </c>
      <c r="G2" s="114">
        <v>0</v>
      </c>
      <c r="H2" s="114">
        <v>7850</v>
      </c>
      <c r="I2" s="114">
        <v>2599</v>
      </c>
      <c r="J2" s="114">
        <v>55038</v>
      </c>
      <c r="K2" s="114">
        <v>0</v>
      </c>
      <c r="L2" s="114">
        <v>0</v>
      </c>
      <c r="M2" s="114">
        <v>0</v>
      </c>
      <c r="N2" s="114">
        <v>156523</v>
      </c>
      <c r="O2" s="114">
        <v>211</v>
      </c>
      <c r="P2" s="115">
        <f>SUM(C2:O2)</f>
        <v>556320</v>
      </c>
    </row>
    <row r="3" spans="1:16" ht="14.25">
      <c r="A3" s="112"/>
      <c r="B3" s="113" t="s">
        <v>94</v>
      </c>
      <c r="C3" s="114">
        <f>(C4-C2)</f>
        <v>0</v>
      </c>
      <c r="D3" s="114">
        <f aca="true" t="shared" si="0" ref="D3:P3">(D4-D2)</f>
        <v>1714</v>
      </c>
      <c r="E3" s="114">
        <f t="shared" si="0"/>
        <v>-46</v>
      </c>
      <c r="F3" s="114">
        <f t="shared" si="0"/>
        <v>11283</v>
      </c>
      <c r="G3" s="114">
        <f t="shared" si="0"/>
        <v>0</v>
      </c>
      <c r="H3" s="114">
        <f t="shared" si="0"/>
        <v>2949</v>
      </c>
      <c r="I3" s="114">
        <f t="shared" si="0"/>
        <v>0</v>
      </c>
      <c r="J3" s="114">
        <f t="shared" si="0"/>
        <v>4047</v>
      </c>
      <c r="K3" s="114">
        <f t="shared" si="0"/>
        <v>0</v>
      </c>
      <c r="L3" s="114">
        <f t="shared" si="0"/>
        <v>0</v>
      </c>
      <c r="M3" s="114">
        <f t="shared" si="0"/>
        <v>0</v>
      </c>
      <c r="N3" s="114">
        <f t="shared" si="0"/>
        <v>0</v>
      </c>
      <c r="O3" s="114">
        <f t="shared" si="0"/>
        <v>0</v>
      </c>
      <c r="P3" s="115">
        <f t="shared" si="0"/>
        <v>19947</v>
      </c>
    </row>
    <row r="4" spans="1:16" ht="14.25">
      <c r="A4" s="112"/>
      <c r="B4" s="116" t="s">
        <v>95</v>
      </c>
      <c r="C4" s="117">
        <v>0</v>
      </c>
      <c r="D4" s="117">
        <v>21062</v>
      </c>
      <c r="E4" s="117">
        <v>660</v>
      </c>
      <c r="F4" s="117">
        <v>325328</v>
      </c>
      <c r="G4" s="117">
        <v>0</v>
      </c>
      <c r="H4" s="117">
        <v>10799</v>
      </c>
      <c r="I4" s="117">
        <v>2599</v>
      </c>
      <c r="J4" s="117">
        <v>59085</v>
      </c>
      <c r="K4" s="117">
        <v>0</v>
      </c>
      <c r="L4" s="117">
        <v>0</v>
      </c>
      <c r="M4" s="117">
        <v>0</v>
      </c>
      <c r="N4" s="117">
        <v>156523</v>
      </c>
      <c r="O4" s="117">
        <v>211</v>
      </c>
      <c r="P4" s="118">
        <f>SUM(C4:O4)</f>
        <v>576267</v>
      </c>
    </row>
    <row r="5" spans="1:16" ht="12.75" customHeight="1">
      <c r="A5" s="119" t="s">
        <v>96</v>
      </c>
      <c r="B5" s="120" t="s">
        <v>93</v>
      </c>
      <c r="C5" s="121">
        <v>0</v>
      </c>
      <c r="D5" s="121">
        <v>20</v>
      </c>
      <c r="E5" s="121">
        <v>1</v>
      </c>
      <c r="F5" s="121">
        <v>98065</v>
      </c>
      <c r="G5" s="121">
        <v>0</v>
      </c>
      <c r="H5" s="121">
        <v>582</v>
      </c>
      <c r="I5" s="121">
        <v>0</v>
      </c>
      <c r="J5" s="121">
        <v>1066</v>
      </c>
      <c r="K5" s="121">
        <v>0</v>
      </c>
      <c r="L5" s="121">
        <v>0</v>
      </c>
      <c r="M5" s="121">
        <v>0</v>
      </c>
      <c r="N5" s="121">
        <v>7212</v>
      </c>
      <c r="O5" s="121">
        <v>0</v>
      </c>
      <c r="P5" s="115">
        <f>SUM(C5:O5)</f>
        <v>106946</v>
      </c>
    </row>
    <row r="6" spans="1:16" ht="14.25">
      <c r="A6" s="119"/>
      <c r="B6" s="113" t="s">
        <v>94</v>
      </c>
      <c r="C6" s="114">
        <f aca="true" t="shared" si="1" ref="C6:O6">(C7-C5)</f>
        <v>0</v>
      </c>
      <c r="D6" s="114">
        <f t="shared" si="1"/>
        <v>1119</v>
      </c>
      <c r="E6" s="114">
        <f t="shared" si="1"/>
        <v>1</v>
      </c>
      <c r="F6" s="114">
        <f t="shared" si="1"/>
        <v>3168</v>
      </c>
      <c r="G6" s="114">
        <f t="shared" si="1"/>
        <v>0</v>
      </c>
      <c r="H6" s="114">
        <f t="shared" si="1"/>
        <v>228</v>
      </c>
      <c r="I6" s="114">
        <f t="shared" si="1"/>
        <v>0</v>
      </c>
      <c r="J6" s="114">
        <f t="shared" si="1"/>
        <v>342</v>
      </c>
      <c r="K6" s="114">
        <f t="shared" si="1"/>
        <v>0</v>
      </c>
      <c r="L6" s="114">
        <f t="shared" si="1"/>
        <v>0</v>
      </c>
      <c r="M6" s="114">
        <f t="shared" si="1"/>
        <v>0</v>
      </c>
      <c r="N6" s="114">
        <f t="shared" si="1"/>
        <v>0</v>
      </c>
      <c r="O6" s="114">
        <f t="shared" si="1"/>
        <v>0</v>
      </c>
      <c r="P6" s="115">
        <f>SUM(C6:O6)</f>
        <v>4858</v>
      </c>
    </row>
    <row r="7" spans="1:16" ht="14.25">
      <c r="A7" s="119"/>
      <c r="B7" s="116" t="s">
        <v>95</v>
      </c>
      <c r="C7" s="117">
        <v>0</v>
      </c>
      <c r="D7" s="117">
        <v>1139</v>
      </c>
      <c r="E7" s="117">
        <v>2</v>
      </c>
      <c r="F7" s="117">
        <v>101233</v>
      </c>
      <c r="G7" s="117">
        <v>0</v>
      </c>
      <c r="H7" s="117">
        <v>810</v>
      </c>
      <c r="I7" s="117">
        <v>0</v>
      </c>
      <c r="J7" s="122">
        <v>1408</v>
      </c>
      <c r="K7" s="117">
        <v>0</v>
      </c>
      <c r="L7" s="117">
        <v>0</v>
      </c>
      <c r="M7" s="117">
        <v>0</v>
      </c>
      <c r="N7" s="117">
        <v>7212</v>
      </c>
      <c r="O7" s="117">
        <v>0</v>
      </c>
      <c r="P7" s="115">
        <f>SUM(C7:O7)</f>
        <v>111804</v>
      </c>
    </row>
    <row r="8" spans="1:16" ht="12.75" customHeight="1">
      <c r="A8" s="123" t="s">
        <v>97</v>
      </c>
      <c r="B8" s="120" t="s">
        <v>93</v>
      </c>
      <c r="C8" s="121">
        <v>0</v>
      </c>
      <c r="D8" s="121">
        <v>440709</v>
      </c>
      <c r="E8" s="121">
        <v>11674</v>
      </c>
      <c r="F8" s="121">
        <v>94472</v>
      </c>
      <c r="G8" s="121">
        <v>0</v>
      </c>
      <c r="H8" s="121">
        <v>135</v>
      </c>
      <c r="I8" s="121">
        <v>360</v>
      </c>
      <c r="J8" s="121">
        <v>1961410</v>
      </c>
      <c r="K8" s="121">
        <v>2367</v>
      </c>
      <c r="L8" s="121">
        <v>1000</v>
      </c>
      <c r="M8" s="121">
        <v>0</v>
      </c>
      <c r="N8" s="121">
        <v>116411</v>
      </c>
      <c r="O8" s="121">
        <v>0</v>
      </c>
      <c r="P8" s="124">
        <f>SUM(C8:O8)</f>
        <v>2628538</v>
      </c>
    </row>
    <row r="9" spans="1:16" ht="14.25">
      <c r="A9" s="123"/>
      <c r="B9" s="113" t="s">
        <v>94</v>
      </c>
      <c r="C9" s="114">
        <f>(C10-C8)</f>
        <v>0</v>
      </c>
      <c r="D9" s="114">
        <f aca="true" t="shared" si="2" ref="D9:P9">(D10-D8)</f>
        <v>24215</v>
      </c>
      <c r="E9" s="114">
        <f t="shared" si="2"/>
        <v>2292</v>
      </c>
      <c r="F9" s="114">
        <f t="shared" si="2"/>
        <v>-9614</v>
      </c>
      <c r="G9" s="114">
        <f t="shared" si="2"/>
        <v>8065</v>
      </c>
      <c r="H9" s="114">
        <f t="shared" si="2"/>
        <v>2</v>
      </c>
      <c r="I9" s="114">
        <f t="shared" si="2"/>
        <v>80</v>
      </c>
      <c r="J9" s="114">
        <f t="shared" si="2"/>
        <v>31116</v>
      </c>
      <c r="K9" s="114">
        <f t="shared" si="2"/>
        <v>1144</v>
      </c>
      <c r="L9" s="114">
        <f t="shared" si="2"/>
        <v>0</v>
      </c>
      <c r="M9" s="114">
        <f t="shared" si="2"/>
        <v>0</v>
      </c>
      <c r="N9" s="114">
        <f t="shared" si="2"/>
        <v>0</v>
      </c>
      <c r="O9" s="114">
        <f t="shared" si="2"/>
        <v>0</v>
      </c>
      <c r="P9" s="115">
        <f t="shared" si="2"/>
        <v>57300</v>
      </c>
    </row>
    <row r="10" spans="1:16" ht="14.25">
      <c r="A10" s="123"/>
      <c r="B10" s="116" t="s">
        <v>95</v>
      </c>
      <c r="C10" s="117">
        <v>0</v>
      </c>
      <c r="D10" s="117">
        <v>464924</v>
      </c>
      <c r="E10" s="117">
        <v>13966</v>
      </c>
      <c r="F10" s="117">
        <v>84858</v>
      </c>
      <c r="G10" s="117">
        <v>8065</v>
      </c>
      <c r="H10" s="117">
        <v>137</v>
      </c>
      <c r="I10" s="117">
        <v>440</v>
      </c>
      <c r="J10" s="122">
        <v>1992526</v>
      </c>
      <c r="K10" s="117">
        <v>3511</v>
      </c>
      <c r="L10" s="117">
        <v>1000</v>
      </c>
      <c r="M10" s="117">
        <v>0</v>
      </c>
      <c r="N10" s="117">
        <v>116411</v>
      </c>
      <c r="O10" s="117">
        <v>0</v>
      </c>
      <c r="P10" s="118">
        <f>SUM(C10:O10)</f>
        <v>2685838</v>
      </c>
    </row>
    <row r="11" spans="1:16" ht="13.5" customHeight="1">
      <c r="A11" s="125" t="s">
        <v>98</v>
      </c>
      <c r="B11" s="126" t="s">
        <v>93</v>
      </c>
      <c r="C11" s="127">
        <f>SUM(C2+C5+C8)</f>
        <v>0</v>
      </c>
      <c r="D11" s="127">
        <f aca="true" t="shared" si="3" ref="D11:P11">SUM(D2+D5+D8)</f>
        <v>460077</v>
      </c>
      <c r="E11" s="127">
        <f t="shared" si="3"/>
        <v>12381</v>
      </c>
      <c r="F11" s="127">
        <f t="shared" si="3"/>
        <v>506582</v>
      </c>
      <c r="G11" s="127">
        <f t="shared" si="3"/>
        <v>0</v>
      </c>
      <c r="H11" s="127">
        <f t="shared" si="3"/>
        <v>8567</v>
      </c>
      <c r="I11" s="127">
        <f t="shared" si="3"/>
        <v>2959</v>
      </c>
      <c r="J11" s="127">
        <f t="shared" si="3"/>
        <v>2017514</v>
      </c>
      <c r="K11" s="127">
        <f t="shared" si="3"/>
        <v>2367</v>
      </c>
      <c r="L11" s="127">
        <f t="shared" si="3"/>
        <v>1000</v>
      </c>
      <c r="M11" s="127">
        <f t="shared" si="3"/>
        <v>0</v>
      </c>
      <c r="N11" s="127">
        <f t="shared" si="3"/>
        <v>280146</v>
      </c>
      <c r="O11" s="127">
        <f t="shared" si="3"/>
        <v>211</v>
      </c>
      <c r="P11" s="128">
        <f t="shared" si="3"/>
        <v>3291804</v>
      </c>
    </row>
    <row r="12" spans="1:16" ht="14.25">
      <c r="A12" s="125"/>
      <c r="B12" s="126" t="s">
        <v>94</v>
      </c>
      <c r="C12" s="129">
        <f>(C13-C11)</f>
        <v>0</v>
      </c>
      <c r="D12" s="129">
        <f aca="true" t="shared" si="4" ref="D12:P12">(D13-D11)</f>
        <v>27048</v>
      </c>
      <c r="E12" s="129">
        <f t="shared" si="4"/>
        <v>2247</v>
      </c>
      <c r="F12" s="129">
        <f t="shared" si="4"/>
        <v>4837</v>
      </c>
      <c r="G12" s="129">
        <f t="shared" si="4"/>
        <v>8065</v>
      </c>
      <c r="H12" s="129">
        <f t="shared" si="4"/>
        <v>3179</v>
      </c>
      <c r="I12" s="129">
        <f t="shared" si="4"/>
        <v>80</v>
      </c>
      <c r="J12" s="129">
        <f t="shared" si="4"/>
        <v>35505</v>
      </c>
      <c r="K12" s="129">
        <f t="shared" si="4"/>
        <v>1144</v>
      </c>
      <c r="L12" s="129">
        <f t="shared" si="4"/>
        <v>0</v>
      </c>
      <c r="M12" s="129">
        <f t="shared" si="4"/>
        <v>0</v>
      </c>
      <c r="N12" s="129">
        <f t="shared" si="4"/>
        <v>0</v>
      </c>
      <c r="O12" s="129">
        <f t="shared" si="4"/>
        <v>0</v>
      </c>
      <c r="P12" s="130">
        <f t="shared" si="4"/>
        <v>82105</v>
      </c>
    </row>
    <row r="13" spans="1:16" ht="16.5" customHeight="1">
      <c r="A13" s="125"/>
      <c r="B13" s="131" t="s">
        <v>95</v>
      </c>
      <c r="C13" s="132">
        <f>SUM(C4+C7+C10)</f>
        <v>0</v>
      </c>
      <c r="D13" s="132">
        <f aca="true" t="shared" si="5" ref="D13:P13">SUM(D4+D7+D10)</f>
        <v>487125</v>
      </c>
      <c r="E13" s="132">
        <f t="shared" si="5"/>
        <v>14628</v>
      </c>
      <c r="F13" s="132">
        <f t="shared" si="5"/>
        <v>511419</v>
      </c>
      <c r="G13" s="132">
        <f t="shared" si="5"/>
        <v>8065</v>
      </c>
      <c r="H13" s="132">
        <f t="shared" si="5"/>
        <v>11746</v>
      </c>
      <c r="I13" s="132">
        <f t="shared" si="5"/>
        <v>3039</v>
      </c>
      <c r="J13" s="132">
        <f t="shared" si="5"/>
        <v>2053019</v>
      </c>
      <c r="K13" s="132">
        <f t="shared" si="5"/>
        <v>3511</v>
      </c>
      <c r="L13" s="132">
        <f t="shared" si="5"/>
        <v>1000</v>
      </c>
      <c r="M13" s="132">
        <f t="shared" si="5"/>
        <v>0</v>
      </c>
      <c r="N13" s="132">
        <f t="shared" si="5"/>
        <v>280146</v>
      </c>
      <c r="O13" s="132">
        <f t="shared" si="5"/>
        <v>211</v>
      </c>
      <c r="P13" s="133">
        <f t="shared" si="5"/>
        <v>3373909</v>
      </c>
    </row>
    <row r="14" spans="1:16" ht="16.5" customHeight="1">
      <c r="A14" s="134" t="s">
        <v>99</v>
      </c>
      <c r="B14" s="126" t="s">
        <v>93</v>
      </c>
      <c r="C14" s="135">
        <f>C11</f>
        <v>0</v>
      </c>
      <c r="D14" s="135">
        <f aca="true" t="shared" si="6" ref="D14:P16">D11</f>
        <v>460077</v>
      </c>
      <c r="E14" s="135">
        <f t="shared" si="6"/>
        <v>12381</v>
      </c>
      <c r="F14" s="135">
        <f t="shared" si="6"/>
        <v>506582</v>
      </c>
      <c r="G14" s="135">
        <f t="shared" si="6"/>
        <v>0</v>
      </c>
      <c r="H14" s="135">
        <f t="shared" si="6"/>
        <v>8567</v>
      </c>
      <c r="I14" s="135">
        <f t="shared" si="6"/>
        <v>2959</v>
      </c>
      <c r="J14" s="135">
        <f t="shared" si="6"/>
        <v>2017514</v>
      </c>
      <c r="K14" s="135">
        <f t="shared" si="6"/>
        <v>2367</v>
      </c>
      <c r="L14" s="135">
        <f t="shared" si="6"/>
        <v>1000</v>
      </c>
      <c r="M14" s="135">
        <f t="shared" si="6"/>
        <v>0</v>
      </c>
      <c r="N14" s="135">
        <f t="shared" si="6"/>
        <v>280146</v>
      </c>
      <c r="O14" s="135">
        <f t="shared" si="6"/>
        <v>211</v>
      </c>
      <c r="P14" s="135">
        <f t="shared" si="6"/>
        <v>3291804</v>
      </c>
    </row>
    <row r="15" spans="1:16" ht="16.5" customHeight="1">
      <c r="A15" s="134"/>
      <c r="B15" s="131" t="s">
        <v>94</v>
      </c>
      <c r="C15" s="129">
        <f>C12</f>
        <v>0</v>
      </c>
      <c r="D15" s="129">
        <f t="shared" si="6"/>
        <v>27048</v>
      </c>
      <c r="E15" s="129">
        <f t="shared" si="6"/>
        <v>2247</v>
      </c>
      <c r="F15" s="129">
        <f t="shared" si="6"/>
        <v>4837</v>
      </c>
      <c r="G15" s="129">
        <f t="shared" si="6"/>
        <v>8065</v>
      </c>
      <c r="H15" s="129">
        <f t="shared" si="6"/>
        <v>3179</v>
      </c>
      <c r="I15" s="129">
        <f t="shared" si="6"/>
        <v>80</v>
      </c>
      <c r="J15" s="129">
        <f t="shared" si="6"/>
        <v>35505</v>
      </c>
      <c r="K15" s="129">
        <f t="shared" si="6"/>
        <v>1144</v>
      </c>
      <c r="L15" s="129">
        <f t="shared" si="6"/>
        <v>0</v>
      </c>
      <c r="M15" s="129">
        <f t="shared" si="6"/>
        <v>0</v>
      </c>
      <c r="N15" s="129">
        <f t="shared" si="6"/>
        <v>0</v>
      </c>
      <c r="O15" s="129">
        <f t="shared" si="6"/>
        <v>0</v>
      </c>
      <c r="P15" s="129">
        <f t="shared" si="6"/>
        <v>82105</v>
      </c>
    </row>
    <row r="16" spans="1:16" ht="16.5" customHeight="1">
      <c r="A16" s="134"/>
      <c r="B16" s="126" t="s">
        <v>95</v>
      </c>
      <c r="C16" s="135">
        <f>C13</f>
        <v>0</v>
      </c>
      <c r="D16" s="135">
        <f t="shared" si="6"/>
        <v>487125</v>
      </c>
      <c r="E16" s="135">
        <f t="shared" si="6"/>
        <v>14628</v>
      </c>
      <c r="F16" s="135">
        <f t="shared" si="6"/>
        <v>511419</v>
      </c>
      <c r="G16" s="135">
        <f t="shared" si="6"/>
        <v>8065</v>
      </c>
      <c r="H16" s="135">
        <f t="shared" si="6"/>
        <v>11746</v>
      </c>
      <c r="I16" s="135">
        <f t="shared" si="6"/>
        <v>3039</v>
      </c>
      <c r="J16" s="135">
        <f t="shared" si="6"/>
        <v>2053019</v>
      </c>
      <c r="K16" s="135">
        <f t="shared" si="6"/>
        <v>3511</v>
      </c>
      <c r="L16" s="135">
        <f t="shared" si="6"/>
        <v>1000</v>
      </c>
      <c r="M16" s="135">
        <f t="shared" si="6"/>
        <v>0</v>
      </c>
      <c r="N16" s="135">
        <f t="shared" si="6"/>
        <v>280146</v>
      </c>
      <c r="O16" s="135">
        <f t="shared" si="6"/>
        <v>211</v>
      </c>
      <c r="P16" s="135">
        <f t="shared" si="6"/>
        <v>3373909</v>
      </c>
    </row>
    <row r="17" spans="1:16" ht="13.5" customHeight="1">
      <c r="A17" s="119" t="s">
        <v>100</v>
      </c>
      <c r="B17" s="113" t="s">
        <v>93</v>
      </c>
      <c r="C17" s="114">
        <v>0</v>
      </c>
      <c r="D17" s="114">
        <v>101224</v>
      </c>
      <c r="E17" s="114">
        <v>0</v>
      </c>
      <c r="F17" s="114">
        <v>957</v>
      </c>
      <c r="G17" s="114">
        <v>0</v>
      </c>
      <c r="H17" s="114">
        <v>0</v>
      </c>
      <c r="I17" s="114">
        <v>0</v>
      </c>
      <c r="J17" s="114">
        <v>1175686</v>
      </c>
      <c r="K17" s="114">
        <v>1070</v>
      </c>
      <c r="L17" s="114">
        <v>0</v>
      </c>
      <c r="M17" s="114">
        <v>0</v>
      </c>
      <c r="N17" s="114">
        <v>25085</v>
      </c>
      <c r="O17" s="114">
        <v>0</v>
      </c>
      <c r="P17" s="115">
        <f>SUM(D17:O17)</f>
        <v>1304022</v>
      </c>
    </row>
    <row r="18" spans="1:16" ht="14.25">
      <c r="A18" s="119"/>
      <c r="B18" s="113" t="s">
        <v>94</v>
      </c>
      <c r="C18" s="114">
        <f>(C19-C17)</f>
        <v>0</v>
      </c>
      <c r="D18" s="114">
        <f aca="true" t="shared" si="7" ref="D18:O18">(D19-D17)</f>
        <v>0</v>
      </c>
      <c r="E18" s="114">
        <f t="shared" si="7"/>
        <v>0</v>
      </c>
      <c r="F18" s="114">
        <f t="shared" si="7"/>
        <v>0</v>
      </c>
      <c r="G18" s="114">
        <f t="shared" si="7"/>
        <v>0</v>
      </c>
      <c r="H18" s="114">
        <f t="shared" si="7"/>
        <v>0</v>
      </c>
      <c r="I18" s="114">
        <f t="shared" si="7"/>
        <v>0</v>
      </c>
      <c r="J18" s="114">
        <f t="shared" si="7"/>
        <v>9226</v>
      </c>
      <c r="K18" s="114">
        <f t="shared" si="7"/>
        <v>1500</v>
      </c>
      <c r="L18" s="114">
        <f t="shared" si="7"/>
        <v>0</v>
      </c>
      <c r="M18" s="114">
        <f t="shared" si="7"/>
        <v>0</v>
      </c>
      <c r="N18" s="114">
        <f t="shared" si="7"/>
        <v>0</v>
      </c>
      <c r="O18" s="114">
        <f t="shared" si="7"/>
        <v>0</v>
      </c>
      <c r="P18" s="115">
        <f aca="true" t="shared" si="8" ref="P18:P23">SUM(C18:O18)</f>
        <v>10726</v>
      </c>
    </row>
    <row r="19" spans="1:16" ht="11.25" customHeight="1">
      <c r="A19" s="119"/>
      <c r="B19" s="116" t="s">
        <v>95</v>
      </c>
      <c r="C19" s="118">
        <v>0</v>
      </c>
      <c r="D19" s="118">
        <v>101224</v>
      </c>
      <c r="E19" s="118">
        <v>0</v>
      </c>
      <c r="F19" s="118">
        <v>957</v>
      </c>
      <c r="G19" s="118">
        <v>0</v>
      </c>
      <c r="H19" s="118">
        <v>0</v>
      </c>
      <c r="I19" s="118">
        <v>0</v>
      </c>
      <c r="J19" s="118">
        <v>1184912</v>
      </c>
      <c r="K19" s="118">
        <v>2570</v>
      </c>
      <c r="L19" s="118">
        <v>0</v>
      </c>
      <c r="M19" s="118">
        <v>0</v>
      </c>
      <c r="N19" s="118">
        <v>25085</v>
      </c>
      <c r="O19" s="118">
        <v>0</v>
      </c>
      <c r="P19" s="115">
        <f t="shared" si="8"/>
        <v>1314748</v>
      </c>
    </row>
    <row r="20" spans="1:16" ht="14.25">
      <c r="A20" s="136" t="s">
        <v>101</v>
      </c>
      <c r="B20" s="120" t="s">
        <v>93</v>
      </c>
      <c r="C20" s="114">
        <v>0</v>
      </c>
      <c r="D20" s="114">
        <v>0</v>
      </c>
      <c r="E20" s="114">
        <v>0</v>
      </c>
      <c r="F20" s="114">
        <v>0</v>
      </c>
      <c r="G20" s="114">
        <v>0</v>
      </c>
      <c r="H20" s="114">
        <v>0</v>
      </c>
      <c r="I20" s="114">
        <v>0</v>
      </c>
      <c r="J20" s="114">
        <v>65332</v>
      </c>
      <c r="K20" s="114">
        <v>0</v>
      </c>
      <c r="L20" s="114">
        <v>0</v>
      </c>
      <c r="M20" s="114">
        <v>0</v>
      </c>
      <c r="N20" s="114">
        <v>3463</v>
      </c>
      <c r="O20" s="114">
        <v>0</v>
      </c>
      <c r="P20" s="124">
        <f>SUM(D20:O20)</f>
        <v>68795</v>
      </c>
    </row>
    <row r="21" spans="1:16" ht="14.25">
      <c r="A21" s="136"/>
      <c r="B21" s="113" t="s">
        <v>94</v>
      </c>
      <c r="C21" s="114">
        <f>(C22-C20)</f>
        <v>0</v>
      </c>
      <c r="D21" s="114">
        <f aca="true" t="shared" si="9" ref="D21:O21">(D22-D20)</f>
        <v>0</v>
      </c>
      <c r="E21" s="114">
        <f t="shared" si="9"/>
        <v>0</v>
      </c>
      <c r="F21" s="114">
        <f t="shared" si="9"/>
        <v>0</v>
      </c>
      <c r="G21" s="114">
        <f t="shared" si="9"/>
        <v>0</v>
      </c>
      <c r="H21" s="114">
        <f t="shared" si="9"/>
        <v>0</v>
      </c>
      <c r="I21" s="114">
        <f t="shared" si="9"/>
        <v>0</v>
      </c>
      <c r="J21" s="114">
        <f t="shared" si="9"/>
        <v>686</v>
      </c>
      <c r="K21" s="114">
        <f t="shared" si="9"/>
        <v>0</v>
      </c>
      <c r="L21" s="114">
        <f t="shared" si="9"/>
        <v>0</v>
      </c>
      <c r="M21" s="114">
        <f t="shared" si="9"/>
        <v>0</v>
      </c>
      <c r="N21" s="114">
        <f t="shared" si="9"/>
        <v>0</v>
      </c>
      <c r="O21" s="114">
        <f t="shared" si="9"/>
        <v>0</v>
      </c>
      <c r="P21" s="115">
        <f t="shared" si="8"/>
        <v>686</v>
      </c>
    </row>
    <row r="22" spans="1:16" ht="14.25">
      <c r="A22" s="136"/>
      <c r="B22" s="116" t="s">
        <v>95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0</v>
      </c>
      <c r="I22" s="114">
        <v>0</v>
      </c>
      <c r="J22" s="114">
        <v>66018</v>
      </c>
      <c r="K22" s="114">
        <v>0</v>
      </c>
      <c r="L22" s="114">
        <v>0</v>
      </c>
      <c r="M22" s="114">
        <v>0</v>
      </c>
      <c r="N22" s="114">
        <v>3463</v>
      </c>
      <c r="O22" s="118">
        <v>0</v>
      </c>
      <c r="P22" s="115">
        <f t="shared" si="8"/>
        <v>69481</v>
      </c>
    </row>
    <row r="23" spans="1:16" ht="13.5" customHeight="1">
      <c r="A23" s="125" t="s">
        <v>102</v>
      </c>
      <c r="B23" s="126" t="s">
        <v>93</v>
      </c>
      <c r="C23" s="135">
        <f>SUM(C17+C20)</f>
        <v>0</v>
      </c>
      <c r="D23" s="135">
        <f aca="true" t="shared" si="10" ref="D23:O23">SUM(D17+D20)</f>
        <v>101224</v>
      </c>
      <c r="E23" s="135">
        <f t="shared" si="10"/>
        <v>0</v>
      </c>
      <c r="F23" s="135">
        <f t="shared" si="10"/>
        <v>957</v>
      </c>
      <c r="G23" s="135">
        <f t="shared" si="10"/>
        <v>0</v>
      </c>
      <c r="H23" s="135">
        <f t="shared" si="10"/>
        <v>0</v>
      </c>
      <c r="I23" s="135">
        <f t="shared" si="10"/>
        <v>0</v>
      </c>
      <c r="J23" s="135">
        <f t="shared" si="10"/>
        <v>1241018</v>
      </c>
      <c r="K23" s="135">
        <f t="shared" si="10"/>
        <v>1070</v>
      </c>
      <c r="L23" s="135">
        <f t="shared" si="10"/>
        <v>0</v>
      </c>
      <c r="M23" s="135">
        <f t="shared" si="10"/>
        <v>0</v>
      </c>
      <c r="N23" s="135">
        <f t="shared" si="10"/>
        <v>28548</v>
      </c>
      <c r="O23" s="127">
        <f t="shared" si="10"/>
        <v>0</v>
      </c>
      <c r="P23" s="137">
        <f t="shared" si="8"/>
        <v>1372817</v>
      </c>
    </row>
    <row r="24" spans="1:16" ht="14.25">
      <c r="A24" s="125"/>
      <c r="B24" s="126" t="s">
        <v>94</v>
      </c>
      <c r="C24" s="129">
        <f>(C25-C23)</f>
        <v>0</v>
      </c>
      <c r="D24" s="129">
        <f aca="true" t="shared" si="11" ref="D24:P24">(D25-D23)</f>
        <v>0</v>
      </c>
      <c r="E24" s="129">
        <f t="shared" si="11"/>
        <v>0</v>
      </c>
      <c r="F24" s="129">
        <f t="shared" si="11"/>
        <v>0</v>
      </c>
      <c r="G24" s="129">
        <f t="shared" si="11"/>
        <v>0</v>
      </c>
      <c r="H24" s="129">
        <f t="shared" si="11"/>
        <v>0</v>
      </c>
      <c r="I24" s="129">
        <f t="shared" si="11"/>
        <v>0</v>
      </c>
      <c r="J24" s="129">
        <f t="shared" si="11"/>
        <v>9912</v>
      </c>
      <c r="K24" s="129">
        <f t="shared" si="11"/>
        <v>1500</v>
      </c>
      <c r="L24" s="129">
        <f t="shared" si="11"/>
        <v>0</v>
      </c>
      <c r="M24" s="129">
        <f t="shared" si="11"/>
        <v>0</v>
      </c>
      <c r="N24" s="129">
        <f t="shared" si="11"/>
        <v>0</v>
      </c>
      <c r="O24" s="129">
        <f t="shared" si="11"/>
        <v>0</v>
      </c>
      <c r="P24" s="130">
        <f t="shared" si="11"/>
        <v>11412</v>
      </c>
    </row>
    <row r="25" spans="1:16" ht="14.25">
      <c r="A25" s="125"/>
      <c r="B25" s="138" t="s">
        <v>95</v>
      </c>
      <c r="C25" s="135">
        <f>SUM(C19+C22)</f>
        <v>0</v>
      </c>
      <c r="D25" s="135">
        <f aca="true" t="shared" si="12" ref="D25:P25">SUM(D19+D22)</f>
        <v>101224</v>
      </c>
      <c r="E25" s="135">
        <f t="shared" si="12"/>
        <v>0</v>
      </c>
      <c r="F25" s="135">
        <f t="shared" si="12"/>
        <v>957</v>
      </c>
      <c r="G25" s="135">
        <f t="shared" si="12"/>
        <v>0</v>
      </c>
      <c r="H25" s="135">
        <f t="shared" si="12"/>
        <v>0</v>
      </c>
      <c r="I25" s="135">
        <f t="shared" si="12"/>
        <v>0</v>
      </c>
      <c r="J25" s="135">
        <f t="shared" si="12"/>
        <v>1250930</v>
      </c>
      <c r="K25" s="135">
        <f t="shared" si="12"/>
        <v>2570</v>
      </c>
      <c r="L25" s="135">
        <f t="shared" si="12"/>
        <v>0</v>
      </c>
      <c r="M25" s="135">
        <f t="shared" si="12"/>
        <v>0</v>
      </c>
      <c r="N25" s="135">
        <f t="shared" si="12"/>
        <v>28548</v>
      </c>
      <c r="O25" s="132">
        <f t="shared" si="12"/>
        <v>0</v>
      </c>
      <c r="P25" s="133">
        <f t="shared" si="12"/>
        <v>1384229</v>
      </c>
    </row>
    <row r="26" spans="1:16" ht="12.75" customHeight="1">
      <c r="A26" s="125" t="s">
        <v>103</v>
      </c>
      <c r="B26" s="126" t="s">
        <v>93</v>
      </c>
      <c r="C26" s="135">
        <v>0</v>
      </c>
      <c r="D26" s="135">
        <v>76698</v>
      </c>
      <c r="E26" s="135">
        <v>10372</v>
      </c>
      <c r="F26" s="135">
        <v>1311</v>
      </c>
      <c r="G26" s="135">
        <v>0</v>
      </c>
      <c r="H26" s="135">
        <v>0</v>
      </c>
      <c r="I26" s="135">
        <v>0</v>
      </c>
      <c r="J26" s="135">
        <v>856866</v>
      </c>
      <c r="K26" s="135">
        <v>5275</v>
      </c>
      <c r="L26" s="135">
        <v>0</v>
      </c>
      <c r="M26" s="135">
        <v>0</v>
      </c>
      <c r="N26" s="135">
        <v>10764</v>
      </c>
      <c r="O26" s="135">
        <v>0</v>
      </c>
      <c r="P26" s="137">
        <f aca="true" t="shared" si="13" ref="P26:P31">SUM(C26:O26)</f>
        <v>961286</v>
      </c>
    </row>
    <row r="27" spans="1:16" ht="14.25">
      <c r="A27" s="125"/>
      <c r="B27" s="138" t="s">
        <v>94</v>
      </c>
      <c r="C27" s="127">
        <f>(C28-C26)</f>
        <v>0</v>
      </c>
      <c r="D27" s="127">
        <f aca="true" t="shared" si="14" ref="D27:O27">(D28-D26)</f>
        <v>0</v>
      </c>
      <c r="E27" s="127">
        <f t="shared" si="14"/>
        <v>0</v>
      </c>
      <c r="F27" s="127">
        <f t="shared" si="14"/>
        <v>2739</v>
      </c>
      <c r="G27" s="127">
        <f t="shared" si="14"/>
        <v>0</v>
      </c>
      <c r="H27" s="127">
        <f t="shared" si="14"/>
        <v>0</v>
      </c>
      <c r="I27" s="127">
        <f t="shared" si="14"/>
        <v>0</v>
      </c>
      <c r="J27" s="127">
        <f t="shared" si="14"/>
        <v>5673</v>
      </c>
      <c r="K27" s="127">
        <f t="shared" si="14"/>
        <v>-1746</v>
      </c>
      <c r="L27" s="127">
        <f t="shared" si="14"/>
        <v>0</v>
      </c>
      <c r="M27" s="127">
        <f t="shared" si="14"/>
        <v>0</v>
      </c>
      <c r="N27" s="127">
        <f t="shared" si="14"/>
        <v>0</v>
      </c>
      <c r="O27" s="127">
        <f t="shared" si="14"/>
        <v>0</v>
      </c>
      <c r="P27" s="128">
        <f t="shared" si="13"/>
        <v>6666</v>
      </c>
    </row>
    <row r="28" spans="1:16" ht="14.25" customHeight="1">
      <c r="A28" s="125"/>
      <c r="B28" s="138" t="s">
        <v>95</v>
      </c>
      <c r="C28" s="127">
        <v>0</v>
      </c>
      <c r="D28" s="127">
        <v>76698</v>
      </c>
      <c r="E28" s="127">
        <v>10372</v>
      </c>
      <c r="F28" s="127">
        <v>4050</v>
      </c>
      <c r="G28" s="127">
        <v>0</v>
      </c>
      <c r="H28" s="127">
        <v>0</v>
      </c>
      <c r="I28" s="127">
        <v>0</v>
      </c>
      <c r="J28" s="127">
        <v>862539</v>
      </c>
      <c r="K28" s="127">
        <v>3529</v>
      </c>
      <c r="L28" s="127">
        <v>0</v>
      </c>
      <c r="M28" s="127">
        <v>0</v>
      </c>
      <c r="N28" s="127">
        <v>10764</v>
      </c>
      <c r="O28" s="127">
        <v>0</v>
      </c>
      <c r="P28" s="130">
        <f t="shared" si="13"/>
        <v>967952</v>
      </c>
    </row>
    <row r="29" spans="1:16" ht="12.75" customHeight="1">
      <c r="A29" s="125" t="s">
        <v>104</v>
      </c>
      <c r="B29" s="126" t="s">
        <v>93</v>
      </c>
      <c r="C29" s="135">
        <v>0</v>
      </c>
      <c r="D29" s="135">
        <v>93782</v>
      </c>
      <c r="E29" s="135">
        <v>14376</v>
      </c>
      <c r="F29" s="135">
        <v>1199</v>
      </c>
      <c r="G29" s="135">
        <v>0</v>
      </c>
      <c r="H29" s="135">
        <v>0</v>
      </c>
      <c r="I29" s="135">
        <v>0</v>
      </c>
      <c r="J29" s="135">
        <v>841050</v>
      </c>
      <c r="K29" s="135">
        <v>862</v>
      </c>
      <c r="L29" s="135">
        <v>0</v>
      </c>
      <c r="M29" s="135">
        <v>0</v>
      </c>
      <c r="N29" s="135">
        <v>17592</v>
      </c>
      <c r="O29" s="135">
        <v>0</v>
      </c>
      <c r="P29" s="137">
        <f t="shared" si="13"/>
        <v>968861</v>
      </c>
    </row>
    <row r="30" spans="1:16" ht="13.5" customHeight="1">
      <c r="A30" s="125"/>
      <c r="B30" s="126" t="s">
        <v>94</v>
      </c>
      <c r="C30" s="135">
        <f>(C31-C29)</f>
        <v>0</v>
      </c>
      <c r="D30" s="135">
        <f aca="true" t="shared" si="15" ref="D30:O30">(D31-D29)</f>
        <v>-8829</v>
      </c>
      <c r="E30" s="135">
        <f t="shared" si="15"/>
        <v>8829</v>
      </c>
      <c r="F30" s="135">
        <f t="shared" si="15"/>
        <v>0</v>
      </c>
      <c r="G30" s="135">
        <f t="shared" si="15"/>
        <v>0</v>
      </c>
      <c r="H30" s="135">
        <f t="shared" si="15"/>
        <v>0</v>
      </c>
      <c r="I30" s="135">
        <f t="shared" si="15"/>
        <v>0</v>
      </c>
      <c r="J30" s="135">
        <f t="shared" si="15"/>
        <v>6862</v>
      </c>
      <c r="K30" s="135">
        <f t="shared" si="15"/>
        <v>0</v>
      </c>
      <c r="L30" s="135">
        <f t="shared" si="15"/>
        <v>0</v>
      </c>
      <c r="M30" s="135">
        <f t="shared" si="15"/>
        <v>0</v>
      </c>
      <c r="N30" s="135">
        <f t="shared" si="15"/>
        <v>0</v>
      </c>
      <c r="O30" s="135">
        <f t="shared" si="15"/>
        <v>0</v>
      </c>
      <c r="P30" s="137">
        <f t="shared" si="13"/>
        <v>6862</v>
      </c>
    </row>
    <row r="31" spans="1:16" ht="13.5" customHeight="1">
      <c r="A31" s="125"/>
      <c r="B31" s="138" t="s">
        <v>95</v>
      </c>
      <c r="C31" s="127">
        <v>0</v>
      </c>
      <c r="D31" s="127">
        <v>84953</v>
      </c>
      <c r="E31" s="127">
        <v>23205</v>
      </c>
      <c r="F31" s="127">
        <v>1199</v>
      </c>
      <c r="G31" s="127">
        <v>0</v>
      </c>
      <c r="H31" s="127">
        <v>0</v>
      </c>
      <c r="I31" s="127">
        <v>0</v>
      </c>
      <c r="J31" s="127">
        <v>847912</v>
      </c>
      <c r="K31" s="127">
        <v>862</v>
      </c>
      <c r="L31" s="127">
        <v>0</v>
      </c>
      <c r="M31" s="127">
        <v>0</v>
      </c>
      <c r="N31" s="127">
        <v>17592</v>
      </c>
      <c r="O31" s="127">
        <v>0</v>
      </c>
      <c r="P31" s="130">
        <f t="shared" si="13"/>
        <v>975723</v>
      </c>
    </row>
    <row r="32" spans="1:16" ht="12.75" customHeight="1">
      <c r="A32" s="119" t="s">
        <v>105</v>
      </c>
      <c r="B32" s="120" t="s">
        <v>93</v>
      </c>
      <c r="C32" s="121">
        <v>0</v>
      </c>
      <c r="D32" s="121">
        <v>109474</v>
      </c>
      <c r="E32" s="121">
        <v>23201</v>
      </c>
      <c r="F32" s="121">
        <v>1463</v>
      </c>
      <c r="G32" s="121">
        <v>0</v>
      </c>
      <c r="H32" s="121">
        <v>0</v>
      </c>
      <c r="I32" s="121">
        <v>0</v>
      </c>
      <c r="J32" s="121">
        <v>1074591</v>
      </c>
      <c r="K32" s="121">
        <v>535</v>
      </c>
      <c r="L32" s="121">
        <v>0</v>
      </c>
      <c r="M32" s="121">
        <v>0</v>
      </c>
      <c r="N32" s="121">
        <v>14056</v>
      </c>
      <c r="O32" s="121">
        <v>0</v>
      </c>
      <c r="P32" s="124">
        <f>SUM(D32:O32)</f>
        <v>1223320</v>
      </c>
    </row>
    <row r="33" spans="1:16" ht="14.25">
      <c r="A33" s="119"/>
      <c r="B33" s="113" t="s">
        <v>94</v>
      </c>
      <c r="C33" s="114">
        <f>(C34-C32)</f>
        <v>0</v>
      </c>
      <c r="D33" s="114">
        <f aca="true" t="shared" si="16" ref="D33:P33">(D34-D32)</f>
        <v>-4534</v>
      </c>
      <c r="E33" s="114">
        <f t="shared" si="16"/>
        <v>4534</v>
      </c>
      <c r="F33" s="114">
        <f t="shared" si="16"/>
        <v>1073</v>
      </c>
      <c r="G33" s="114">
        <f t="shared" si="16"/>
        <v>0</v>
      </c>
      <c r="H33" s="114">
        <f t="shared" si="16"/>
        <v>0</v>
      </c>
      <c r="I33" s="114">
        <f t="shared" si="16"/>
        <v>0</v>
      </c>
      <c r="J33" s="114">
        <f t="shared" si="16"/>
        <v>13119</v>
      </c>
      <c r="K33" s="114">
        <f t="shared" si="16"/>
        <v>1200</v>
      </c>
      <c r="L33" s="114">
        <f t="shared" si="16"/>
        <v>0</v>
      </c>
      <c r="M33" s="114">
        <f t="shared" si="16"/>
        <v>0</v>
      </c>
      <c r="N33" s="114">
        <f t="shared" si="16"/>
        <v>0</v>
      </c>
      <c r="O33" s="114">
        <f t="shared" si="16"/>
        <v>0</v>
      </c>
      <c r="P33" s="115">
        <f t="shared" si="16"/>
        <v>15392</v>
      </c>
    </row>
    <row r="34" spans="1:16" ht="14.25">
      <c r="A34" s="119"/>
      <c r="B34" s="116" t="s">
        <v>95</v>
      </c>
      <c r="C34" s="139">
        <v>0</v>
      </c>
      <c r="D34" s="140">
        <v>104940</v>
      </c>
      <c r="E34" s="139">
        <v>27735</v>
      </c>
      <c r="F34" s="140">
        <v>2536</v>
      </c>
      <c r="G34" s="139">
        <v>0</v>
      </c>
      <c r="H34" s="140">
        <v>0</v>
      </c>
      <c r="I34" s="139">
        <v>0</v>
      </c>
      <c r="J34" s="140">
        <v>1087710</v>
      </c>
      <c r="K34" s="140">
        <v>1735</v>
      </c>
      <c r="L34" s="140">
        <v>0</v>
      </c>
      <c r="M34" s="140">
        <v>0</v>
      </c>
      <c r="N34" s="140">
        <v>14056</v>
      </c>
      <c r="O34" s="141">
        <v>0</v>
      </c>
      <c r="P34" s="115">
        <f>SUM(C34:O34)</f>
        <v>1238712</v>
      </c>
    </row>
    <row r="35" spans="1:16" ht="12.75" customHeight="1">
      <c r="A35" s="142" t="s">
        <v>106</v>
      </c>
      <c r="B35" s="120" t="s">
        <v>93</v>
      </c>
      <c r="C35" s="121">
        <v>0</v>
      </c>
      <c r="D35" s="121">
        <v>5446</v>
      </c>
      <c r="E35" s="121">
        <v>1101</v>
      </c>
      <c r="F35" s="121">
        <v>0</v>
      </c>
      <c r="G35" s="121">
        <v>0</v>
      </c>
      <c r="H35" s="121">
        <v>30</v>
      </c>
      <c r="I35" s="121">
        <v>0</v>
      </c>
      <c r="J35" s="121">
        <v>341019</v>
      </c>
      <c r="K35" s="121">
        <v>6216</v>
      </c>
      <c r="L35" s="121">
        <v>0</v>
      </c>
      <c r="M35" s="121">
        <v>0</v>
      </c>
      <c r="N35" s="121">
        <v>0</v>
      </c>
      <c r="O35" s="121">
        <v>0</v>
      </c>
      <c r="P35" s="124">
        <f>SUM(D35:O35)</f>
        <v>353812</v>
      </c>
    </row>
    <row r="36" spans="1:16" ht="14.25">
      <c r="A36" s="142"/>
      <c r="B36" s="113" t="s">
        <v>94</v>
      </c>
      <c r="C36" s="114">
        <f>(C37-C35)</f>
        <v>0</v>
      </c>
      <c r="D36" s="114">
        <f aca="true" t="shared" si="17" ref="D36:P36">(D37-D35)</f>
        <v>-1330</v>
      </c>
      <c r="E36" s="114">
        <f t="shared" si="17"/>
        <v>118</v>
      </c>
      <c r="F36" s="114">
        <f t="shared" si="17"/>
        <v>158</v>
      </c>
      <c r="G36" s="114">
        <f t="shared" si="17"/>
        <v>0</v>
      </c>
      <c r="H36" s="114">
        <f t="shared" si="17"/>
        <v>0</v>
      </c>
      <c r="I36" s="114">
        <f t="shared" si="17"/>
        <v>0</v>
      </c>
      <c r="J36" s="114">
        <f t="shared" si="17"/>
        <v>2429</v>
      </c>
      <c r="K36" s="114">
        <f t="shared" si="17"/>
        <v>280</v>
      </c>
      <c r="L36" s="114">
        <f t="shared" si="17"/>
        <v>0</v>
      </c>
      <c r="M36" s="114">
        <f t="shared" si="17"/>
        <v>0</v>
      </c>
      <c r="N36" s="114">
        <f t="shared" si="17"/>
        <v>0</v>
      </c>
      <c r="O36" s="114">
        <f t="shared" si="17"/>
        <v>0</v>
      </c>
      <c r="P36" s="115">
        <f t="shared" si="17"/>
        <v>1655</v>
      </c>
    </row>
    <row r="37" spans="1:16" ht="14.25">
      <c r="A37" s="142"/>
      <c r="B37" s="113" t="s">
        <v>95</v>
      </c>
      <c r="C37" s="143">
        <v>0</v>
      </c>
      <c r="D37" s="144">
        <v>4116</v>
      </c>
      <c r="E37" s="143">
        <v>1219</v>
      </c>
      <c r="F37" s="144">
        <v>158</v>
      </c>
      <c r="G37" s="143">
        <v>0</v>
      </c>
      <c r="H37" s="144">
        <v>30</v>
      </c>
      <c r="I37" s="143">
        <v>0</v>
      </c>
      <c r="J37" s="144">
        <v>343448</v>
      </c>
      <c r="K37" s="144">
        <v>6496</v>
      </c>
      <c r="L37" s="144">
        <v>0</v>
      </c>
      <c r="M37" s="144">
        <v>0</v>
      </c>
      <c r="N37" s="144">
        <v>0</v>
      </c>
      <c r="O37" s="144">
        <v>0</v>
      </c>
      <c r="P37" s="114">
        <f>SUM(C37:O37)</f>
        <v>355467</v>
      </c>
    </row>
    <row r="38" spans="1:16" ht="13.5" customHeight="1">
      <c r="A38" s="125" t="s">
        <v>107</v>
      </c>
      <c r="B38" s="126" t="s">
        <v>93</v>
      </c>
      <c r="C38" s="135">
        <f>SUM(C32+C35)</f>
        <v>0</v>
      </c>
      <c r="D38" s="135">
        <f aca="true" t="shared" si="18" ref="D38:P38">SUM(D32+D35)</f>
        <v>114920</v>
      </c>
      <c r="E38" s="135">
        <f t="shared" si="18"/>
        <v>24302</v>
      </c>
      <c r="F38" s="135">
        <f t="shared" si="18"/>
        <v>1463</v>
      </c>
      <c r="G38" s="145">
        <f t="shared" si="18"/>
        <v>0</v>
      </c>
      <c r="H38" s="135">
        <f t="shared" si="18"/>
        <v>30</v>
      </c>
      <c r="I38" s="135">
        <f t="shared" si="18"/>
        <v>0</v>
      </c>
      <c r="J38" s="135">
        <f t="shared" si="18"/>
        <v>1415610</v>
      </c>
      <c r="K38" s="135">
        <f t="shared" si="18"/>
        <v>6751</v>
      </c>
      <c r="L38" s="135">
        <f t="shared" si="18"/>
        <v>0</v>
      </c>
      <c r="M38" s="135">
        <f t="shared" si="18"/>
        <v>0</v>
      </c>
      <c r="N38" s="135">
        <f t="shared" si="18"/>
        <v>14056</v>
      </c>
      <c r="O38" s="135">
        <f t="shared" si="18"/>
        <v>0</v>
      </c>
      <c r="P38" s="135">
        <f t="shared" si="18"/>
        <v>1577132</v>
      </c>
    </row>
    <row r="39" spans="1:16" ht="14.25">
      <c r="A39" s="125"/>
      <c r="B39" s="138" t="s">
        <v>94</v>
      </c>
      <c r="C39" s="127">
        <f>(C40-C38)</f>
        <v>0</v>
      </c>
      <c r="D39" s="127">
        <f aca="true" t="shared" si="19" ref="D39:P39">(D40-D38)</f>
        <v>-5864</v>
      </c>
      <c r="E39" s="127">
        <f t="shared" si="19"/>
        <v>4652</v>
      </c>
      <c r="F39" s="127">
        <f t="shared" si="19"/>
        <v>1231</v>
      </c>
      <c r="G39" s="146">
        <f t="shared" si="19"/>
        <v>0</v>
      </c>
      <c r="H39" s="127">
        <f t="shared" si="19"/>
        <v>0</v>
      </c>
      <c r="I39" s="127">
        <f t="shared" si="19"/>
        <v>0</v>
      </c>
      <c r="J39" s="127">
        <f t="shared" si="19"/>
        <v>15548</v>
      </c>
      <c r="K39" s="127">
        <f t="shared" si="19"/>
        <v>1480</v>
      </c>
      <c r="L39" s="127">
        <f t="shared" si="19"/>
        <v>0</v>
      </c>
      <c r="M39" s="127">
        <f t="shared" si="19"/>
        <v>0</v>
      </c>
      <c r="N39" s="127">
        <f t="shared" si="19"/>
        <v>0</v>
      </c>
      <c r="O39" s="127">
        <f t="shared" si="19"/>
        <v>0</v>
      </c>
      <c r="P39" s="127">
        <f t="shared" si="19"/>
        <v>17047</v>
      </c>
    </row>
    <row r="40" spans="1:16" ht="14.25">
      <c r="A40" s="125"/>
      <c r="B40" s="138" t="s">
        <v>95</v>
      </c>
      <c r="C40" s="127">
        <f>SUM(C34+C37)</f>
        <v>0</v>
      </c>
      <c r="D40" s="127">
        <f aca="true" t="shared" si="20" ref="D40:P40">SUM(D34+D37)</f>
        <v>109056</v>
      </c>
      <c r="E40" s="127">
        <f t="shared" si="20"/>
        <v>28954</v>
      </c>
      <c r="F40" s="127">
        <f t="shared" si="20"/>
        <v>2694</v>
      </c>
      <c r="G40" s="146">
        <f t="shared" si="20"/>
        <v>0</v>
      </c>
      <c r="H40" s="127">
        <f t="shared" si="20"/>
        <v>30</v>
      </c>
      <c r="I40" s="127">
        <f t="shared" si="20"/>
        <v>0</v>
      </c>
      <c r="J40" s="127">
        <f t="shared" si="20"/>
        <v>1431158</v>
      </c>
      <c r="K40" s="127">
        <f t="shared" si="20"/>
        <v>8231</v>
      </c>
      <c r="L40" s="127">
        <f t="shared" si="20"/>
        <v>0</v>
      </c>
      <c r="M40" s="127">
        <f t="shared" si="20"/>
        <v>0</v>
      </c>
      <c r="N40" s="127">
        <f t="shared" si="20"/>
        <v>14056</v>
      </c>
      <c r="O40" s="127">
        <f t="shared" si="20"/>
        <v>0</v>
      </c>
      <c r="P40" s="127">
        <f t="shared" si="20"/>
        <v>1594179</v>
      </c>
    </row>
    <row r="41" spans="1:16" ht="12.75" customHeight="1">
      <c r="A41" s="147" t="s">
        <v>108</v>
      </c>
      <c r="B41" s="138" t="s">
        <v>93</v>
      </c>
      <c r="C41" s="127">
        <v>0</v>
      </c>
      <c r="D41" s="127">
        <v>62006</v>
      </c>
      <c r="E41" s="127">
        <v>12504</v>
      </c>
      <c r="F41" s="127">
        <v>0</v>
      </c>
      <c r="G41" s="127">
        <v>0</v>
      </c>
      <c r="H41" s="127">
        <v>0</v>
      </c>
      <c r="I41" s="127">
        <v>0</v>
      </c>
      <c r="J41" s="127">
        <v>774065</v>
      </c>
      <c r="K41" s="127">
        <v>200</v>
      </c>
      <c r="L41" s="127">
        <v>8640</v>
      </c>
      <c r="M41" s="127">
        <v>0</v>
      </c>
      <c r="N41" s="127">
        <v>5878</v>
      </c>
      <c r="O41" s="127">
        <v>0</v>
      </c>
      <c r="P41" s="128">
        <f>SUM(C41:O41)</f>
        <v>863293</v>
      </c>
    </row>
    <row r="42" spans="1:16" ht="15" customHeight="1">
      <c r="A42" s="147"/>
      <c r="B42" s="138" t="s">
        <v>94</v>
      </c>
      <c r="C42" s="127">
        <f>(C43-C41)</f>
        <v>0</v>
      </c>
      <c r="D42" s="127">
        <f aca="true" t="shared" si="21" ref="D42:P42">(D43-D41)</f>
        <v>810</v>
      </c>
      <c r="E42" s="127">
        <f t="shared" si="21"/>
        <v>628</v>
      </c>
      <c r="F42" s="127">
        <f t="shared" si="21"/>
        <v>0</v>
      </c>
      <c r="G42" s="127">
        <f t="shared" si="21"/>
        <v>0</v>
      </c>
      <c r="H42" s="127">
        <f t="shared" si="21"/>
        <v>0</v>
      </c>
      <c r="I42" s="127">
        <f t="shared" si="21"/>
        <v>0</v>
      </c>
      <c r="J42" s="127">
        <f t="shared" si="21"/>
        <v>6019</v>
      </c>
      <c r="K42" s="127">
        <f t="shared" si="21"/>
        <v>75</v>
      </c>
      <c r="L42" s="127">
        <f t="shared" si="21"/>
        <v>271</v>
      </c>
      <c r="M42" s="127">
        <f t="shared" si="21"/>
        <v>0</v>
      </c>
      <c r="N42" s="127">
        <f t="shared" si="21"/>
        <v>0</v>
      </c>
      <c r="O42" s="127">
        <f t="shared" si="21"/>
        <v>0</v>
      </c>
      <c r="P42" s="128">
        <f t="shared" si="21"/>
        <v>7803</v>
      </c>
    </row>
    <row r="43" spans="1:16" ht="18" customHeight="1">
      <c r="A43" s="147"/>
      <c r="B43" s="138" t="s">
        <v>95</v>
      </c>
      <c r="C43" s="148">
        <v>0</v>
      </c>
      <c r="D43" s="148">
        <v>62816</v>
      </c>
      <c r="E43" s="148">
        <v>13132</v>
      </c>
      <c r="F43" s="148">
        <v>0</v>
      </c>
      <c r="G43" s="148">
        <v>0</v>
      </c>
      <c r="H43" s="148">
        <v>0</v>
      </c>
      <c r="I43" s="148">
        <v>0</v>
      </c>
      <c r="J43" s="148">
        <v>780084</v>
      </c>
      <c r="K43" s="148">
        <v>275</v>
      </c>
      <c r="L43" s="148">
        <v>8911</v>
      </c>
      <c r="M43" s="148">
        <v>0</v>
      </c>
      <c r="N43" s="148">
        <v>5878</v>
      </c>
      <c r="O43" s="148">
        <v>0</v>
      </c>
      <c r="P43" s="128">
        <f>SUM(C43:O43)</f>
        <v>871096</v>
      </c>
    </row>
    <row r="44" spans="1:16" ht="14.25" customHeight="1">
      <c r="A44" s="112" t="s">
        <v>109</v>
      </c>
      <c r="B44" s="113" t="s">
        <v>93</v>
      </c>
      <c r="C44" s="114">
        <v>0</v>
      </c>
      <c r="D44" s="114">
        <v>27076</v>
      </c>
      <c r="E44" s="114">
        <v>1672</v>
      </c>
      <c r="F44" s="114">
        <v>1128</v>
      </c>
      <c r="G44" s="114">
        <v>0</v>
      </c>
      <c r="H44" s="114">
        <v>0</v>
      </c>
      <c r="I44" s="114">
        <v>0</v>
      </c>
      <c r="J44" s="114">
        <v>304667</v>
      </c>
      <c r="K44" s="114">
        <v>10462</v>
      </c>
      <c r="L44" s="114">
        <v>3584</v>
      </c>
      <c r="M44" s="114">
        <v>0</v>
      </c>
      <c r="N44" s="114">
        <v>14143</v>
      </c>
      <c r="O44" s="114">
        <v>0</v>
      </c>
      <c r="P44" s="115">
        <f>SUM(D44:O44)</f>
        <v>362732</v>
      </c>
    </row>
    <row r="45" spans="1:16" ht="14.25">
      <c r="A45" s="112"/>
      <c r="B45" s="113" t="s">
        <v>94</v>
      </c>
      <c r="C45" s="114">
        <f aca="true" t="shared" si="22" ref="C45:O45">(C46-C44)</f>
        <v>0</v>
      </c>
      <c r="D45" s="114">
        <f t="shared" si="22"/>
        <v>0</v>
      </c>
      <c r="E45" s="114">
        <f t="shared" si="22"/>
        <v>0</v>
      </c>
      <c r="F45" s="114">
        <f t="shared" si="22"/>
        <v>520</v>
      </c>
      <c r="G45" s="114">
        <f t="shared" si="22"/>
        <v>0</v>
      </c>
      <c r="H45" s="114">
        <f t="shared" si="22"/>
        <v>0</v>
      </c>
      <c r="I45" s="114">
        <f t="shared" si="22"/>
        <v>0</v>
      </c>
      <c r="J45" s="114">
        <f t="shared" si="22"/>
        <v>4094</v>
      </c>
      <c r="K45" s="114">
        <f t="shared" si="22"/>
        <v>513</v>
      </c>
      <c r="L45" s="114">
        <f t="shared" si="22"/>
        <v>0</v>
      </c>
      <c r="M45" s="114">
        <f t="shared" si="22"/>
        <v>0</v>
      </c>
      <c r="N45" s="114">
        <f t="shared" si="22"/>
        <v>0</v>
      </c>
      <c r="O45" s="114">
        <f t="shared" si="22"/>
        <v>0</v>
      </c>
      <c r="P45" s="115">
        <f>SUM(C45:O45)</f>
        <v>5127</v>
      </c>
    </row>
    <row r="46" spans="1:16" ht="14.25">
      <c r="A46" s="112"/>
      <c r="B46" s="116" t="s">
        <v>95</v>
      </c>
      <c r="C46" s="118">
        <v>0</v>
      </c>
      <c r="D46" s="118">
        <v>27076</v>
      </c>
      <c r="E46" s="118">
        <v>1672</v>
      </c>
      <c r="F46" s="118">
        <v>1648</v>
      </c>
      <c r="G46" s="118">
        <v>0</v>
      </c>
      <c r="H46" s="118">
        <v>0</v>
      </c>
      <c r="I46" s="118">
        <v>0</v>
      </c>
      <c r="J46" s="118">
        <v>308761</v>
      </c>
      <c r="K46" s="118">
        <v>10975</v>
      </c>
      <c r="L46" s="118">
        <v>3584</v>
      </c>
      <c r="M46" s="118">
        <v>0</v>
      </c>
      <c r="N46" s="118">
        <v>14143</v>
      </c>
      <c r="O46" s="114">
        <v>0</v>
      </c>
      <c r="P46" s="115">
        <f>SUM(C46:O46)</f>
        <v>367859</v>
      </c>
    </row>
    <row r="47" spans="1:16" ht="14.25" customHeight="1">
      <c r="A47" s="119" t="s">
        <v>110</v>
      </c>
      <c r="B47" s="120" t="s">
        <v>93</v>
      </c>
      <c r="C47" s="121">
        <v>0</v>
      </c>
      <c r="D47" s="121">
        <v>23710</v>
      </c>
      <c r="E47" s="121">
        <v>1993</v>
      </c>
      <c r="F47" s="121">
        <v>923</v>
      </c>
      <c r="G47" s="121">
        <v>0</v>
      </c>
      <c r="H47" s="121">
        <v>0</v>
      </c>
      <c r="I47" s="121">
        <v>0</v>
      </c>
      <c r="J47" s="121">
        <v>190179</v>
      </c>
      <c r="K47" s="121">
        <v>672</v>
      </c>
      <c r="L47" s="121">
        <v>0</v>
      </c>
      <c r="M47" s="121">
        <v>0</v>
      </c>
      <c r="N47" s="121">
        <v>2555</v>
      </c>
      <c r="O47" s="121">
        <v>0</v>
      </c>
      <c r="P47" s="124">
        <f>SUM(D47:O47)</f>
        <v>220032</v>
      </c>
    </row>
    <row r="48" spans="1:16" ht="14.25">
      <c r="A48" s="119"/>
      <c r="B48" s="113" t="s">
        <v>94</v>
      </c>
      <c r="C48" s="114">
        <f>(C49-C47)</f>
        <v>0</v>
      </c>
      <c r="D48" s="114">
        <f aca="true" t="shared" si="23" ref="D48:O48">(D49-D47)</f>
        <v>0</v>
      </c>
      <c r="E48" s="114">
        <f t="shared" si="23"/>
        <v>800</v>
      </c>
      <c r="F48" s="114">
        <f t="shared" si="23"/>
        <v>-60</v>
      </c>
      <c r="G48" s="114">
        <f t="shared" si="23"/>
        <v>0</v>
      </c>
      <c r="H48" s="114">
        <f t="shared" si="23"/>
        <v>0</v>
      </c>
      <c r="I48" s="114">
        <f t="shared" si="23"/>
        <v>0</v>
      </c>
      <c r="J48" s="114">
        <f t="shared" si="23"/>
        <v>1670</v>
      </c>
      <c r="K48" s="114">
        <f t="shared" si="23"/>
        <v>220</v>
      </c>
      <c r="L48" s="114">
        <f t="shared" si="23"/>
        <v>0</v>
      </c>
      <c r="M48" s="114">
        <f t="shared" si="23"/>
        <v>0</v>
      </c>
      <c r="N48" s="114">
        <f t="shared" si="23"/>
        <v>0</v>
      </c>
      <c r="O48" s="114">
        <f t="shared" si="23"/>
        <v>0</v>
      </c>
      <c r="P48" s="115">
        <f>SUM(C48:O48)</f>
        <v>2630</v>
      </c>
    </row>
    <row r="49" spans="1:16" ht="14.25">
      <c r="A49" s="119"/>
      <c r="B49" s="116" t="s">
        <v>95</v>
      </c>
      <c r="C49" s="118">
        <v>0</v>
      </c>
      <c r="D49" s="118">
        <v>23710</v>
      </c>
      <c r="E49" s="118">
        <v>2793</v>
      </c>
      <c r="F49" s="118">
        <v>863</v>
      </c>
      <c r="G49" s="118">
        <v>0</v>
      </c>
      <c r="H49" s="118">
        <v>0</v>
      </c>
      <c r="I49" s="118">
        <v>0</v>
      </c>
      <c r="J49" s="118">
        <v>191849</v>
      </c>
      <c r="K49" s="118">
        <v>892</v>
      </c>
      <c r="L49" s="118">
        <v>0</v>
      </c>
      <c r="M49" s="118">
        <v>0</v>
      </c>
      <c r="N49" s="118">
        <v>2555</v>
      </c>
      <c r="O49" s="118">
        <v>0</v>
      </c>
      <c r="P49" s="115">
        <f>SUM(C49:O49)</f>
        <v>222662</v>
      </c>
    </row>
    <row r="50" spans="1:16" ht="14.25" customHeight="1">
      <c r="A50" s="119" t="s">
        <v>111</v>
      </c>
      <c r="B50" s="120" t="s">
        <v>93</v>
      </c>
      <c r="C50" s="121">
        <v>0</v>
      </c>
      <c r="D50" s="121">
        <v>32000</v>
      </c>
      <c r="E50" s="121">
        <v>2480</v>
      </c>
      <c r="F50" s="121">
        <v>419</v>
      </c>
      <c r="G50" s="121">
        <v>0</v>
      </c>
      <c r="H50" s="121">
        <v>0</v>
      </c>
      <c r="I50" s="121">
        <v>0</v>
      </c>
      <c r="J50" s="121">
        <v>233348</v>
      </c>
      <c r="K50" s="121">
        <v>2670</v>
      </c>
      <c r="L50" s="121">
        <v>0</v>
      </c>
      <c r="M50" s="121">
        <v>0</v>
      </c>
      <c r="N50" s="121">
        <v>13506</v>
      </c>
      <c r="O50" s="121">
        <v>0</v>
      </c>
      <c r="P50" s="124">
        <f>SUM(D50:O50)</f>
        <v>284423</v>
      </c>
    </row>
    <row r="51" spans="1:17" ht="14.25">
      <c r="A51" s="119"/>
      <c r="B51" s="113" t="s">
        <v>94</v>
      </c>
      <c r="C51" s="114">
        <f>(C52-C50)</f>
        <v>0</v>
      </c>
      <c r="D51" s="114">
        <f aca="true" t="shared" si="24" ref="D51:O51">(D52-D50)</f>
        <v>0</v>
      </c>
      <c r="E51" s="114">
        <f t="shared" si="24"/>
        <v>0</v>
      </c>
      <c r="F51" s="114">
        <f t="shared" si="24"/>
        <v>0</v>
      </c>
      <c r="G51" s="114">
        <f t="shared" si="24"/>
        <v>0</v>
      </c>
      <c r="H51" s="114">
        <f t="shared" si="24"/>
        <v>0</v>
      </c>
      <c r="I51" s="114">
        <f t="shared" si="24"/>
        <v>0</v>
      </c>
      <c r="J51" s="114">
        <f t="shared" si="24"/>
        <v>3402</v>
      </c>
      <c r="K51" s="114">
        <f t="shared" si="24"/>
        <v>51</v>
      </c>
      <c r="L51" s="114">
        <f t="shared" si="24"/>
        <v>0</v>
      </c>
      <c r="M51" s="114">
        <f t="shared" si="24"/>
        <v>0</v>
      </c>
      <c r="N51" s="114">
        <f t="shared" si="24"/>
        <v>0</v>
      </c>
      <c r="O51" s="114">
        <f t="shared" si="24"/>
        <v>0</v>
      </c>
      <c r="P51" s="115">
        <f>SUM(C51:O51)</f>
        <v>3453</v>
      </c>
      <c r="Q51" s="149"/>
    </row>
    <row r="52" spans="1:16" ht="14.25">
      <c r="A52" s="119"/>
      <c r="B52" s="116" t="s">
        <v>95</v>
      </c>
      <c r="C52" s="118">
        <v>0</v>
      </c>
      <c r="D52" s="118">
        <v>32000</v>
      </c>
      <c r="E52" s="118">
        <v>2480</v>
      </c>
      <c r="F52" s="118">
        <v>419</v>
      </c>
      <c r="G52" s="118">
        <v>0</v>
      </c>
      <c r="H52" s="118">
        <v>0</v>
      </c>
      <c r="I52" s="118">
        <v>0</v>
      </c>
      <c r="J52" s="118">
        <v>236750</v>
      </c>
      <c r="K52" s="118">
        <v>2721</v>
      </c>
      <c r="L52" s="118">
        <v>0</v>
      </c>
      <c r="M52" s="118">
        <v>0</v>
      </c>
      <c r="N52" s="118">
        <v>13506</v>
      </c>
      <c r="O52" s="118">
        <v>0</v>
      </c>
      <c r="P52" s="115">
        <f>SUM(C52:O52)</f>
        <v>287876</v>
      </c>
    </row>
    <row r="53" spans="1:16" ht="14.25" customHeight="1">
      <c r="A53" s="119" t="s">
        <v>112</v>
      </c>
      <c r="B53" s="120" t="s">
        <v>93</v>
      </c>
      <c r="C53" s="121">
        <v>0</v>
      </c>
      <c r="D53" s="121">
        <v>25908</v>
      </c>
      <c r="E53" s="121">
        <v>3467</v>
      </c>
      <c r="F53" s="121">
        <v>0</v>
      </c>
      <c r="G53" s="121">
        <v>0</v>
      </c>
      <c r="H53" s="121">
        <v>0</v>
      </c>
      <c r="I53" s="121">
        <v>0</v>
      </c>
      <c r="J53" s="121">
        <v>150082</v>
      </c>
      <c r="K53" s="121">
        <v>186</v>
      </c>
      <c r="L53" s="121">
        <v>0</v>
      </c>
      <c r="M53" s="121">
        <v>0</v>
      </c>
      <c r="N53" s="121">
        <v>8183</v>
      </c>
      <c r="O53" s="121">
        <v>0</v>
      </c>
      <c r="P53" s="124">
        <f>SUM(D53:O53)</f>
        <v>187826</v>
      </c>
    </row>
    <row r="54" spans="1:16" ht="14.25">
      <c r="A54" s="119"/>
      <c r="B54" s="113" t="s">
        <v>94</v>
      </c>
      <c r="C54" s="114">
        <f>(C55-C53)</f>
        <v>0</v>
      </c>
      <c r="D54" s="114">
        <f aca="true" t="shared" si="25" ref="D54:O54">(D55-D53)</f>
        <v>0</v>
      </c>
      <c r="E54" s="114">
        <f t="shared" si="25"/>
        <v>3000</v>
      </c>
      <c r="F54" s="114">
        <f t="shared" si="25"/>
        <v>0</v>
      </c>
      <c r="G54" s="114">
        <f t="shared" si="25"/>
        <v>0</v>
      </c>
      <c r="H54" s="114">
        <f t="shared" si="25"/>
        <v>0</v>
      </c>
      <c r="I54" s="114">
        <f t="shared" si="25"/>
        <v>0</v>
      </c>
      <c r="J54" s="114">
        <f t="shared" si="25"/>
        <v>3200</v>
      </c>
      <c r="K54" s="114">
        <f t="shared" si="25"/>
        <v>0</v>
      </c>
      <c r="L54" s="114">
        <f t="shared" si="25"/>
        <v>0</v>
      </c>
      <c r="M54" s="114">
        <f t="shared" si="25"/>
        <v>0</v>
      </c>
      <c r="N54" s="114">
        <f t="shared" si="25"/>
        <v>0</v>
      </c>
      <c r="O54" s="114">
        <f t="shared" si="25"/>
        <v>0</v>
      </c>
      <c r="P54" s="115">
        <f>SUM(C54:O54)</f>
        <v>6200</v>
      </c>
    </row>
    <row r="55" spans="1:16" ht="14.25">
      <c r="A55" s="119"/>
      <c r="B55" s="116" t="s">
        <v>95</v>
      </c>
      <c r="C55" s="118">
        <v>0</v>
      </c>
      <c r="D55" s="118">
        <v>25908</v>
      </c>
      <c r="E55" s="118">
        <v>6467</v>
      </c>
      <c r="F55" s="118">
        <v>0</v>
      </c>
      <c r="G55" s="118">
        <v>0</v>
      </c>
      <c r="H55" s="118">
        <v>0</v>
      </c>
      <c r="I55" s="118">
        <v>0</v>
      </c>
      <c r="J55" s="118">
        <v>153282</v>
      </c>
      <c r="K55" s="118">
        <v>186</v>
      </c>
      <c r="L55" s="118">
        <v>0</v>
      </c>
      <c r="M55" s="118">
        <v>0</v>
      </c>
      <c r="N55" s="118">
        <v>8183</v>
      </c>
      <c r="O55" s="118">
        <v>0</v>
      </c>
      <c r="P55" s="115">
        <f>SUM(C55:O55)</f>
        <v>194026</v>
      </c>
    </row>
    <row r="56" spans="1:16" ht="13.5" customHeight="1">
      <c r="A56" s="125" t="s">
        <v>113</v>
      </c>
      <c r="B56" s="150" t="s">
        <v>93</v>
      </c>
      <c r="C56" s="151">
        <f>SUM(C44+C47+C50+C53)</f>
        <v>0</v>
      </c>
      <c r="D56" s="135">
        <f aca="true" t="shared" si="26" ref="D56:P56">SUM(D44+D47+D50+D53)</f>
        <v>108694</v>
      </c>
      <c r="E56" s="135">
        <f t="shared" si="26"/>
        <v>9612</v>
      </c>
      <c r="F56" s="135">
        <f t="shared" si="26"/>
        <v>2470</v>
      </c>
      <c r="G56" s="135">
        <f t="shared" si="26"/>
        <v>0</v>
      </c>
      <c r="H56" s="135">
        <f t="shared" si="26"/>
        <v>0</v>
      </c>
      <c r="I56" s="135">
        <f t="shared" si="26"/>
        <v>0</v>
      </c>
      <c r="J56" s="135">
        <f t="shared" si="26"/>
        <v>878276</v>
      </c>
      <c r="K56" s="135">
        <f t="shared" si="26"/>
        <v>13990</v>
      </c>
      <c r="L56" s="135">
        <f t="shared" si="26"/>
        <v>3584</v>
      </c>
      <c r="M56" s="135">
        <f t="shared" si="26"/>
        <v>0</v>
      </c>
      <c r="N56" s="135">
        <f t="shared" si="26"/>
        <v>38387</v>
      </c>
      <c r="O56" s="127">
        <f t="shared" si="26"/>
        <v>0</v>
      </c>
      <c r="P56" s="128">
        <f t="shared" si="26"/>
        <v>1055013</v>
      </c>
    </row>
    <row r="57" spans="1:16" ht="14.25">
      <c r="A57" s="125"/>
      <c r="B57" s="152" t="s">
        <v>94</v>
      </c>
      <c r="C57" s="114">
        <f>(C58-C56)</f>
        <v>0</v>
      </c>
      <c r="D57" s="129">
        <f aca="true" t="shared" si="27" ref="D57:P57">(D58-D56)</f>
        <v>0</v>
      </c>
      <c r="E57" s="129">
        <f t="shared" si="27"/>
        <v>3800</v>
      </c>
      <c r="F57" s="129">
        <f t="shared" si="27"/>
        <v>460</v>
      </c>
      <c r="G57" s="129">
        <f t="shared" si="27"/>
        <v>0</v>
      </c>
      <c r="H57" s="129">
        <f t="shared" si="27"/>
        <v>0</v>
      </c>
      <c r="I57" s="129">
        <f t="shared" si="27"/>
        <v>0</v>
      </c>
      <c r="J57" s="129">
        <f t="shared" si="27"/>
        <v>12366</v>
      </c>
      <c r="K57" s="129">
        <f t="shared" si="27"/>
        <v>784</v>
      </c>
      <c r="L57" s="129">
        <f t="shared" si="27"/>
        <v>0</v>
      </c>
      <c r="M57" s="129">
        <f t="shared" si="27"/>
        <v>0</v>
      </c>
      <c r="N57" s="129">
        <f t="shared" si="27"/>
        <v>0</v>
      </c>
      <c r="O57" s="129">
        <f t="shared" si="27"/>
        <v>0</v>
      </c>
      <c r="P57" s="129">
        <f t="shared" si="27"/>
        <v>17410</v>
      </c>
    </row>
    <row r="58" spans="1:16" ht="14.25">
      <c r="A58" s="125"/>
      <c r="B58" s="138" t="s">
        <v>95</v>
      </c>
      <c r="C58" s="135">
        <f>SUM(C46+C49+C52+C55)</f>
        <v>0</v>
      </c>
      <c r="D58" s="135">
        <f aca="true" t="shared" si="28" ref="D58:P58">SUM(D46+D49+D52+D55)</f>
        <v>108694</v>
      </c>
      <c r="E58" s="135">
        <f t="shared" si="28"/>
        <v>13412</v>
      </c>
      <c r="F58" s="135">
        <f t="shared" si="28"/>
        <v>2930</v>
      </c>
      <c r="G58" s="135">
        <f t="shared" si="28"/>
        <v>0</v>
      </c>
      <c r="H58" s="135">
        <f t="shared" si="28"/>
        <v>0</v>
      </c>
      <c r="I58" s="135">
        <f t="shared" si="28"/>
        <v>0</v>
      </c>
      <c r="J58" s="135">
        <f t="shared" si="28"/>
        <v>890642</v>
      </c>
      <c r="K58" s="135">
        <f t="shared" si="28"/>
        <v>14774</v>
      </c>
      <c r="L58" s="135">
        <f t="shared" si="28"/>
        <v>3584</v>
      </c>
      <c r="M58" s="135">
        <f t="shared" si="28"/>
        <v>0</v>
      </c>
      <c r="N58" s="135">
        <f t="shared" si="28"/>
        <v>38387</v>
      </c>
      <c r="O58" s="132">
        <f t="shared" si="28"/>
        <v>0</v>
      </c>
      <c r="P58" s="133">
        <f t="shared" si="28"/>
        <v>1072423</v>
      </c>
    </row>
    <row r="59" spans="1:16" ht="14.25" customHeight="1">
      <c r="A59" s="119" t="s">
        <v>114</v>
      </c>
      <c r="B59" s="120" t="s">
        <v>115</v>
      </c>
      <c r="C59" s="121">
        <v>0</v>
      </c>
      <c r="D59" s="121">
        <v>21693</v>
      </c>
      <c r="E59" s="121">
        <v>2141</v>
      </c>
      <c r="F59" s="121">
        <v>3008</v>
      </c>
      <c r="G59" s="121">
        <v>0</v>
      </c>
      <c r="H59" s="121">
        <v>6</v>
      </c>
      <c r="I59" s="121">
        <v>0</v>
      </c>
      <c r="J59" s="121">
        <v>327151</v>
      </c>
      <c r="K59" s="121">
        <v>3493</v>
      </c>
      <c r="L59" s="121">
        <v>1735</v>
      </c>
      <c r="M59" s="121">
        <v>0</v>
      </c>
      <c r="N59" s="121">
        <v>11767</v>
      </c>
      <c r="O59" s="121">
        <v>2017</v>
      </c>
      <c r="P59" s="124">
        <f aca="true" t="shared" si="29" ref="P59:P79">SUM(C59:O59)</f>
        <v>373011</v>
      </c>
    </row>
    <row r="60" spans="1:16" ht="14.25">
      <c r="A60" s="119"/>
      <c r="B60" s="113" t="s">
        <v>94</v>
      </c>
      <c r="C60" s="114">
        <f aca="true" t="shared" si="30" ref="C60:O60">(C61-C59)</f>
        <v>0</v>
      </c>
      <c r="D60" s="114">
        <f t="shared" si="30"/>
        <v>0</v>
      </c>
      <c r="E60" s="114">
        <f t="shared" si="30"/>
        <v>0</v>
      </c>
      <c r="F60" s="114">
        <f t="shared" si="30"/>
        <v>0</v>
      </c>
      <c r="G60" s="114">
        <f t="shared" si="30"/>
        <v>0</v>
      </c>
      <c r="H60" s="114">
        <f t="shared" si="30"/>
        <v>0</v>
      </c>
      <c r="I60" s="114">
        <f t="shared" si="30"/>
        <v>0</v>
      </c>
      <c r="J60" s="114">
        <f t="shared" si="30"/>
        <v>0</v>
      </c>
      <c r="K60" s="114">
        <f t="shared" si="30"/>
        <v>0</v>
      </c>
      <c r="L60" s="114">
        <f t="shared" si="30"/>
        <v>0</v>
      </c>
      <c r="M60" s="114">
        <f t="shared" si="30"/>
        <v>0</v>
      </c>
      <c r="N60" s="114">
        <f t="shared" si="30"/>
        <v>0</v>
      </c>
      <c r="O60" s="114">
        <f t="shared" si="30"/>
        <v>0</v>
      </c>
      <c r="P60" s="115">
        <f t="shared" si="29"/>
        <v>0</v>
      </c>
    </row>
    <row r="61" spans="1:16" ht="14.25">
      <c r="A61" s="119"/>
      <c r="B61" s="116" t="s">
        <v>95</v>
      </c>
      <c r="C61" s="118">
        <v>0</v>
      </c>
      <c r="D61" s="118">
        <v>21693</v>
      </c>
      <c r="E61" s="118">
        <v>2141</v>
      </c>
      <c r="F61" s="118">
        <v>3008</v>
      </c>
      <c r="G61" s="118">
        <v>0</v>
      </c>
      <c r="H61" s="118">
        <v>6</v>
      </c>
      <c r="I61" s="118">
        <v>0</v>
      </c>
      <c r="J61" s="118">
        <v>327151</v>
      </c>
      <c r="K61" s="118">
        <v>3493</v>
      </c>
      <c r="L61" s="118">
        <v>1735</v>
      </c>
      <c r="M61" s="118">
        <v>0</v>
      </c>
      <c r="N61" s="118">
        <v>11767</v>
      </c>
      <c r="O61" s="118">
        <v>2017</v>
      </c>
      <c r="P61" s="115">
        <f t="shared" si="29"/>
        <v>373011</v>
      </c>
    </row>
    <row r="62" spans="1:16" ht="13.5" customHeight="1">
      <c r="A62" s="119" t="s">
        <v>116</v>
      </c>
      <c r="B62" s="120" t="s">
        <v>115</v>
      </c>
      <c r="C62" s="121">
        <v>0</v>
      </c>
      <c r="D62" s="121">
        <v>11029</v>
      </c>
      <c r="E62" s="121">
        <v>1070</v>
      </c>
      <c r="F62" s="121">
        <v>0</v>
      </c>
      <c r="G62" s="121">
        <v>2000</v>
      </c>
      <c r="H62" s="121">
        <v>8</v>
      </c>
      <c r="I62" s="121">
        <v>319</v>
      </c>
      <c r="J62" s="121">
        <v>128055</v>
      </c>
      <c r="K62" s="121">
        <v>4</v>
      </c>
      <c r="L62" s="121">
        <v>9669</v>
      </c>
      <c r="M62" s="121">
        <v>0</v>
      </c>
      <c r="N62" s="121">
        <v>6765</v>
      </c>
      <c r="O62" s="121">
        <v>0</v>
      </c>
      <c r="P62" s="124">
        <f t="shared" si="29"/>
        <v>158919</v>
      </c>
    </row>
    <row r="63" spans="1:16" ht="14.25">
      <c r="A63" s="119"/>
      <c r="B63" s="113" t="s">
        <v>94</v>
      </c>
      <c r="C63" s="114">
        <f>(C64-C62)</f>
        <v>0</v>
      </c>
      <c r="D63" s="114">
        <f aca="true" t="shared" si="31" ref="D63:O63">(D64-D62)</f>
        <v>0</v>
      </c>
      <c r="E63" s="114">
        <f t="shared" si="31"/>
        <v>0</v>
      </c>
      <c r="F63" s="114">
        <f t="shared" si="31"/>
        <v>0</v>
      </c>
      <c r="G63" s="114">
        <f t="shared" si="31"/>
        <v>0</v>
      </c>
      <c r="H63" s="114">
        <f t="shared" si="31"/>
        <v>0</v>
      </c>
      <c r="I63" s="114">
        <f t="shared" si="31"/>
        <v>0</v>
      </c>
      <c r="J63" s="114">
        <f t="shared" si="31"/>
        <v>0</v>
      </c>
      <c r="K63" s="114">
        <f t="shared" si="31"/>
        <v>0</v>
      </c>
      <c r="L63" s="114">
        <f t="shared" si="31"/>
        <v>0</v>
      </c>
      <c r="M63" s="114">
        <f t="shared" si="31"/>
        <v>0</v>
      </c>
      <c r="N63" s="114">
        <f t="shared" si="31"/>
        <v>0</v>
      </c>
      <c r="O63" s="114">
        <f t="shared" si="31"/>
        <v>0</v>
      </c>
      <c r="P63" s="115">
        <f t="shared" si="29"/>
        <v>0</v>
      </c>
    </row>
    <row r="64" spans="1:16" ht="14.25">
      <c r="A64" s="119"/>
      <c r="B64" s="116" t="s">
        <v>95</v>
      </c>
      <c r="C64" s="118">
        <v>0</v>
      </c>
      <c r="D64" s="118">
        <v>11029</v>
      </c>
      <c r="E64" s="118">
        <v>1070</v>
      </c>
      <c r="F64" s="118">
        <v>0</v>
      </c>
      <c r="G64" s="118">
        <v>2000</v>
      </c>
      <c r="H64" s="118">
        <v>8</v>
      </c>
      <c r="I64" s="118">
        <v>319</v>
      </c>
      <c r="J64" s="118">
        <v>128055</v>
      </c>
      <c r="K64" s="118">
        <v>4</v>
      </c>
      <c r="L64" s="118">
        <v>9669</v>
      </c>
      <c r="M64" s="118">
        <v>0</v>
      </c>
      <c r="N64" s="118">
        <v>6765</v>
      </c>
      <c r="O64" s="118">
        <v>0</v>
      </c>
      <c r="P64" s="115">
        <f t="shared" si="29"/>
        <v>158919</v>
      </c>
    </row>
    <row r="65" spans="1:16" ht="12.75" customHeight="1">
      <c r="A65" s="119" t="s">
        <v>117</v>
      </c>
      <c r="B65" s="120" t="s">
        <v>115</v>
      </c>
      <c r="C65" s="114">
        <v>0</v>
      </c>
      <c r="D65" s="114">
        <v>25876</v>
      </c>
      <c r="E65" s="114">
        <v>1191</v>
      </c>
      <c r="F65" s="114">
        <v>6861</v>
      </c>
      <c r="G65" s="114">
        <v>3847</v>
      </c>
      <c r="H65" s="114">
        <v>116</v>
      </c>
      <c r="I65" s="114">
        <v>0</v>
      </c>
      <c r="J65" s="114">
        <v>143943</v>
      </c>
      <c r="K65" s="114">
        <v>0</v>
      </c>
      <c r="L65" s="114">
        <v>1701</v>
      </c>
      <c r="M65" s="114">
        <v>0</v>
      </c>
      <c r="N65" s="114">
        <v>51460</v>
      </c>
      <c r="O65" s="114">
        <v>0</v>
      </c>
      <c r="P65" s="124">
        <f t="shared" si="29"/>
        <v>234995</v>
      </c>
    </row>
    <row r="66" spans="1:16" ht="14.25">
      <c r="A66" s="119"/>
      <c r="B66" s="113" t="s">
        <v>94</v>
      </c>
      <c r="C66" s="114">
        <f>(C67-C65)</f>
        <v>0</v>
      </c>
      <c r="D66" s="114">
        <f aca="true" t="shared" si="32" ref="D66:O66">(D67-D65)</f>
        <v>0</v>
      </c>
      <c r="E66" s="114">
        <f t="shared" si="32"/>
        <v>0</v>
      </c>
      <c r="F66" s="114">
        <f t="shared" si="32"/>
        <v>0</v>
      </c>
      <c r="G66" s="114">
        <f t="shared" si="32"/>
        <v>0</v>
      </c>
      <c r="H66" s="114">
        <f t="shared" si="32"/>
        <v>0</v>
      </c>
      <c r="I66" s="114">
        <f t="shared" si="32"/>
        <v>0</v>
      </c>
      <c r="J66" s="114">
        <f t="shared" si="32"/>
        <v>0</v>
      </c>
      <c r="K66" s="114">
        <f t="shared" si="32"/>
        <v>0</v>
      </c>
      <c r="L66" s="114">
        <f t="shared" si="32"/>
        <v>0</v>
      </c>
      <c r="M66" s="114">
        <f t="shared" si="32"/>
        <v>0</v>
      </c>
      <c r="N66" s="114">
        <f t="shared" si="32"/>
        <v>0</v>
      </c>
      <c r="O66" s="114">
        <f t="shared" si="32"/>
        <v>0</v>
      </c>
      <c r="P66" s="115">
        <f t="shared" si="29"/>
        <v>0</v>
      </c>
    </row>
    <row r="67" spans="1:16" ht="14.25">
      <c r="A67" s="119"/>
      <c r="B67" s="116" t="s">
        <v>95</v>
      </c>
      <c r="C67" s="114">
        <v>0</v>
      </c>
      <c r="D67" s="114">
        <v>25876</v>
      </c>
      <c r="E67" s="114">
        <v>1191</v>
      </c>
      <c r="F67" s="114">
        <v>6861</v>
      </c>
      <c r="G67" s="114">
        <v>3847</v>
      </c>
      <c r="H67" s="114">
        <v>116</v>
      </c>
      <c r="I67" s="114">
        <v>0</v>
      </c>
      <c r="J67" s="114">
        <v>143943</v>
      </c>
      <c r="K67" s="114">
        <v>0</v>
      </c>
      <c r="L67" s="114">
        <v>1701</v>
      </c>
      <c r="M67" s="114">
        <v>0</v>
      </c>
      <c r="N67" s="114">
        <v>51460</v>
      </c>
      <c r="O67" s="114">
        <v>0</v>
      </c>
      <c r="P67" s="115">
        <f t="shared" si="29"/>
        <v>234995</v>
      </c>
    </row>
    <row r="68" spans="1:16" ht="12.75" customHeight="1">
      <c r="A68" s="119" t="s">
        <v>118</v>
      </c>
      <c r="B68" s="120" t="s">
        <v>115</v>
      </c>
      <c r="C68" s="121">
        <v>0</v>
      </c>
      <c r="D68" s="121">
        <v>5693</v>
      </c>
      <c r="E68" s="121">
        <v>754</v>
      </c>
      <c r="F68" s="121">
        <v>228</v>
      </c>
      <c r="G68" s="121">
        <v>9583</v>
      </c>
      <c r="H68" s="121">
        <v>13</v>
      </c>
      <c r="I68" s="121">
        <v>166</v>
      </c>
      <c r="J68" s="121">
        <v>205717</v>
      </c>
      <c r="K68" s="121">
        <v>200</v>
      </c>
      <c r="L68" s="121">
        <v>11861</v>
      </c>
      <c r="M68" s="121">
        <v>0</v>
      </c>
      <c r="N68" s="121">
        <v>43247</v>
      </c>
      <c r="O68" s="121">
        <v>736</v>
      </c>
      <c r="P68" s="121">
        <f t="shared" si="29"/>
        <v>278198</v>
      </c>
    </row>
    <row r="69" spans="1:16" ht="14.25">
      <c r="A69" s="119"/>
      <c r="B69" s="113" t="s">
        <v>94</v>
      </c>
      <c r="C69" s="114">
        <f aca="true" t="shared" si="33" ref="C69:O69">(C70-C68)</f>
        <v>0</v>
      </c>
      <c r="D69" s="114">
        <f t="shared" si="33"/>
        <v>0</v>
      </c>
      <c r="E69" s="114">
        <f t="shared" si="33"/>
        <v>0</v>
      </c>
      <c r="F69" s="114">
        <f t="shared" si="33"/>
        <v>0</v>
      </c>
      <c r="G69" s="114">
        <f t="shared" si="33"/>
        <v>0</v>
      </c>
      <c r="H69" s="114">
        <f t="shared" si="33"/>
        <v>0</v>
      </c>
      <c r="I69" s="114">
        <f t="shared" si="33"/>
        <v>0</v>
      </c>
      <c r="J69" s="114">
        <f t="shared" si="33"/>
        <v>0</v>
      </c>
      <c r="K69" s="114">
        <f t="shared" si="33"/>
        <v>0</v>
      </c>
      <c r="L69" s="114">
        <f t="shared" si="33"/>
        <v>0</v>
      </c>
      <c r="M69" s="114">
        <f t="shared" si="33"/>
        <v>0</v>
      </c>
      <c r="N69" s="114">
        <f t="shared" si="33"/>
        <v>0</v>
      </c>
      <c r="O69" s="114">
        <f t="shared" si="33"/>
        <v>0</v>
      </c>
      <c r="P69" s="114">
        <f t="shared" si="29"/>
        <v>0</v>
      </c>
    </row>
    <row r="70" spans="1:16" ht="14.25">
      <c r="A70" s="119"/>
      <c r="B70" s="116" t="s">
        <v>95</v>
      </c>
      <c r="C70" s="118">
        <v>0</v>
      </c>
      <c r="D70" s="114">
        <v>5693</v>
      </c>
      <c r="E70" s="114">
        <v>754</v>
      </c>
      <c r="F70" s="114">
        <v>228</v>
      </c>
      <c r="G70" s="114">
        <v>9583</v>
      </c>
      <c r="H70" s="114">
        <v>13</v>
      </c>
      <c r="I70" s="114">
        <v>166</v>
      </c>
      <c r="J70" s="114">
        <v>205717</v>
      </c>
      <c r="K70" s="114">
        <v>200</v>
      </c>
      <c r="L70" s="114">
        <v>11861</v>
      </c>
      <c r="M70" s="114">
        <v>0</v>
      </c>
      <c r="N70" s="114">
        <v>43247</v>
      </c>
      <c r="O70" s="114">
        <v>736</v>
      </c>
      <c r="P70" s="114">
        <f t="shared" si="29"/>
        <v>278198</v>
      </c>
    </row>
    <row r="71" spans="1:16" ht="13.5" customHeight="1">
      <c r="A71" s="119" t="s">
        <v>119</v>
      </c>
      <c r="B71" s="120" t="s">
        <v>115</v>
      </c>
      <c r="C71" s="121">
        <v>0</v>
      </c>
      <c r="D71" s="121">
        <v>20675</v>
      </c>
      <c r="E71" s="121">
        <v>2286</v>
      </c>
      <c r="F71" s="121">
        <v>289</v>
      </c>
      <c r="G71" s="121">
        <v>2999</v>
      </c>
      <c r="H71" s="121">
        <v>23</v>
      </c>
      <c r="I71" s="121">
        <v>0</v>
      </c>
      <c r="J71" s="121">
        <v>142829</v>
      </c>
      <c r="K71" s="121">
        <v>1161</v>
      </c>
      <c r="L71" s="121">
        <v>2201</v>
      </c>
      <c r="M71" s="121">
        <v>0</v>
      </c>
      <c r="N71" s="121">
        <v>13318</v>
      </c>
      <c r="O71" s="121">
        <v>0</v>
      </c>
      <c r="P71" s="121">
        <f t="shared" si="29"/>
        <v>185781</v>
      </c>
    </row>
    <row r="72" spans="1:16" ht="14.25">
      <c r="A72" s="119"/>
      <c r="B72" s="113" t="s">
        <v>94</v>
      </c>
      <c r="C72" s="114">
        <f>(C73-C71)</f>
        <v>0</v>
      </c>
      <c r="D72" s="114">
        <f aca="true" t="shared" si="34" ref="D72:O72">(D73-D71)</f>
        <v>0</v>
      </c>
      <c r="E72" s="114">
        <f t="shared" si="34"/>
        <v>0</v>
      </c>
      <c r="F72" s="114">
        <f t="shared" si="34"/>
        <v>0</v>
      </c>
      <c r="G72" s="114">
        <f t="shared" si="34"/>
        <v>0</v>
      </c>
      <c r="H72" s="114">
        <f t="shared" si="34"/>
        <v>0</v>
      </c>
      <c r="I72" s="114">
        <f t="shared" si="34"/>
        <v>0</v>
      </c>
      <c r="J72" s="114">
        <f t="shared" si="34"/>
        <v>0</v>
      </c>
      <c r="K72" s="114">
        <f t="shared" si="34"/>
        <v>0</v>
      </c>
      <c r="L72" s="114">
        <f t="shared" si="34"/>
        <v>0</v>
      </c>
      <c r="M72" s="114">
        <f t="shared" si="34"/>
        <v>0</v>
      </c>
      <c r="N72" s="114">
        <f t="shared" si="34"/>
        <v>0</v>
      </c>
      <c r="O72" s="114">
        <f t="shared" si="34"/>
        <v>0</v>
      </c>
      <c r="P72" s="114">
        <f t="shared" si="29"/>
        <v>0</v>
      </c>
    </row>
    <row r="73" spans="1:16" ht="14.25">
      <c r="A73" s="119"/>
      <c r="B73" s="116" t="s">
        <v>95</v>
      </c>
      <c r="C73" s="118">
        <v>0</v>
      </c>
      <c r="D73" s="114">
        <v>20675</v>
      </c>
      <c r="E73" s="114">
        <v>2286</v>
      </c>
      <c r="F73" s="114">
        <v>289</v>
      </c>
      <c r="G73" s="114">
        <v>2999</v>
      </c>
      <c r="H73" s="114">
        <v>23</v>
      </c>
      <c r="I73" s="114">
        <v>0</v>
      </c>
      <c r="J73" s="114">
        <v>142829</v>
      </c>
      <c r="K73" s="114">
        <v>1161</v>
      </c>
      <c r="L73" s="114">
        <v>2201</v>
      </c>
      <c r="M73" s="114">
        <v>0</v>
      </c>
      <c r="N73" s="114">
        <v>13318</v>
      </c>
      <c r="O73" s="114">
        <v>0</v>
      </c>
      <c r="P73" s="114">
        <f t="shared" si="29"/>
        <v>185781</v>
      </c>
    </row>
    <row r="74" spans="1:16" ht="13.5" customHeight="1">
      <c r="A74" s="119" t="s">
        <v>120</v>
      </c>
      <c r="B74" s="120" t="s">
        <v>115</v>
      </c>
      <c r="C74" s="121">
        <v>0</v>
      </c>
      <c r="D74" s="121">
        <v>19273</v>
      </c>
      <c r="E74" s="121">
        <v>1770</v>
      </c>
      <c r="F74" s="121">
        <v>96</v>
      </c>
      <c r="G74" s="121">
        <v>3682</v>
      </c>
      <c r="H74" s="121">
        <v>1</v>
      </c>
      <c r="I74" s="121">
        <v>1487</v>
      </c>
      <c r="J74" s="121">
        <v>204299</v>
      </c>
      <c r="K74" s="121">
        <v>970</v>
      </c>
      <c r="L74" s="121">
        <v>4104</v>
      </c>
      <c r="M74" s="121">
        <v>0</v>
      </c>
      <c r="N74" s="121">
        <v>28255</v>
      </c>
      <c r="O74" s="121">
        <v>0</v>
      </c>
      <c r="P74" s="121">
        <f t="shared" si="29"/>
        <v>263937</v>
      </c>
    </row>
    <row r="75" spans="1:16" ht="14.25">
      <c r="A75" s="119"/>
      <c r="B75" s="113" t="s">
        <v>94</v>
      </c>
      <c r="C75" s="114">
        <f>(C76-C74)</f>
        <v>0</v>
      </c>
      <c r="D75" s="114">
        <f aca="true" t="shared" si="35" ref="D75:O75">(D76-D74)</f>
        <v>0</v>
      </c>
      <c r="E75" s="114">
        <f t="shared" si="35"/>
        <v>0</v>
      </c>
      <c r="F75" s="114">
        <f t="shared" si="35"/>
        <v>0</v>
      </c>
      <c r="G75" s="114">
        <f t="shared" si="35"/>
        <v>0</v>
      </c>
      <c r="H75" s="114">
        <f t="shared" si="35"/>
        <v>0</v>
      </c>
      <c r="I75" s="114">
        <f t="shared" si="35"/>
        <v>0</v>
      </c>
      <c r="J75" s="114">
        <f t="shared" si="35"/>
        <v>0</v>
      </c>
      <c r="K75" s="114">
        <f t="shared" si="35"/>
        <v>0</v>
      </c>
      <c r="L75" s="114">
        <f t="shared" si="35"/>
        <v>0</v>
      </c>
      <c r="M75" s="114">
        <f t="shared" si="35"/>
        <v>0</v>
      </c>
      <c r="N75" s="114">
        <f t="shared" si="35"/>
        <v>0</v>
      </c>
      <c r="O75" s="114">
        <f t="shared" si="35"/>
        <v>0</v>
      </c>
      <c r="P75" s="114">
        <f t="shared" si="29"/>
        <v>0</v>
      </c>
    </row>
    <row r="76" spans="1:16" ht="14.25">
      <c r="A76" s="119"/>
      <c r="B76" s="116" t="s">
        <v>95</v>
      </c>
      <c r="C76" s="118">
        <v>0</v>
      </c>
      <c r="D76" s="114">
        <v>19273</v>
      </c>
      <c r="E76" s="114">
        <v>1770</v>
      </c>
      <c r="F76" s="114">
        <v>96</v>
      </c>
      <c r="G76" s="114">
        <v>3682</v>
      </c>
      <c r="H76" s="114">
        <v>1</v>
      </c>
      <c r="I76" s="114">
        <v>1487</v>
      </c>
      <c r="J76" s="114">
        <v>204299</v>
      </c>
      <c r="K76" s="114">
        <v>970</v>
      </c>
      <c r="L76" s="114">
        <v>4104</v>
      </c>
      <c r="M76" s="114">
        <v>0</v>
      </c>
      <c r="N76" s="114">
        <v>28255</v>
      </c>
      <c r="O76" s="114">
        <v>0</v>
      </c>
      <c r="P76" s="114">
        <f t="shared" si="29"/>
        <v>263937</v>
      </c>
    </row>
    <row r="77" spans="1:16" ht="13.5" customHeight="1">
      <c r="A77" s="119" t="s">
        <v>121</v>
      </c>
      <c r="B77" s="120" t="s">
        <v>115</v>
      </c>
      <c r="C77" s="121">
        <v>0</v>
      </c>
      <c r="D77" s="121">
        <v>3136</v>
      </c>
      <c r="E77" s="121">
        <v>124</v>
      </c>
      <c r="F77" s="121">
        <v>34</v>
      </c>
      <c r="G77" s="121">
        <v>0</v>
      </c>
      <c r="H77" s="121">
        <v>0</v>
      </c>
      <c r="I77" s="121">
        <v>0</v>
      </c>
      <c r="J77" s="121">
        <v>55223</v>
      </c>
      <c r="K77" s="121">
        <v>0</v>
      </c>
      <c r="L77" s="121">
        <v>0</v>
      </c>
      <c r="M77" s="121">
        <v>0</v>
      </c>
      <c r="N77" s="121">
        <v>3600</v>
      </c>
      <c r="O77" s="121">
        <v>0</v>
      </c>
      <c r="P77" s="121">
        <f t="shared" si="29"/>
        <v>62117</v>
      </c>
    </row>
    <row r="78" spans="1:16" ht="10.5" customHeight="1">
      <c r="A78" s="119"/>
      <c r="B78" s="113" t="s">
        <v>94</v>
      </c>
      <c r="C78" s="114">
        <f>(C79-C77)</f>
        <v>0</v>
      </c>
      <c r="D78" s="114">
        <f aca="true" t="shared" si="36" ref="D78:O78">(D79-D77)</f>
        <v>0</v>
      </c>
      <c r="E78" s="114">
        <f t="shared" si="36"/>
        <v>0</v>
      </c>
      <c r="F78" s="114">
        <f t="shared" si="36"/>
        <v>0</v>
      </c>
      <c r="G78" s="114">
        <f t="shared" si="36"/>
        <v>0</v>
      </c>
      <c r="H78" s="114">
        <f t="shared" si="36"/>
        <v>0</v>
      </c>
      <c r="I78" s="114">
        <f t="shared" si="36"/>
        <v>0</v>
      </c>
      <c r="J78" s="114">
        <f t="shared" si="36"/>
        <v>0</v>
      </c>
      <c r="K78" s="114">
        <f t="shared" si="36"/>
        <v>0</v>
      </c>
      <c r="L78" s="114">
        <f t="shared" si="36"/>
        <v>0</v>
      </c>
      <c r="M78" s="114">
        <f t="shared" si="36"/>
        <v>0</v>
      </c>
      <c r="N78" s="114">
        <f t="shared" si="36"/>
        <v>0</v>
      </c>
      <c r="O78" s="114">
        <f t="shared" si="36"/>
        <v>0</v>
      </c>
      <c r="P78" s="114">
        <f t="shared" si="29"/>
        <v>0</v>
      </c>
    </row>
    <row r="79" spans="1:16" ht="14.25">
      <c r="A79" s="119"/>
      <c r="B79" s="116" t="s">
        <v>95</v>
      </c>
      <c r="C79" s="118">
        <v>0</v>
      </c>
      <c r="D79" s="118">
        <v>3136</v>
      </c>
      <c r="E79" s="118">
        <v>124</v>
      </c>
      <c r="F79" s="118">
        <v>34</v>
      </c>
      <c r="G79" s="118">
        <v>0</v>
      </c>
      <c r="H79" s="118">
        <v>0</v>
      </c>
      <c r="I79" s="118">
        <v>0</v>
      </c>
      <c r="J79" s="118">
        <v>55223</v>
      </c>
      <c r="K79" s="118">
        <v>0</v>
      </c>
      <c r="L79" s="118">
        <v>0</v>
      </c>
      <c r="M79" s="118">
        <v>0</v>
      </c>
      <c r="N79" s="118">
        <v>3600</v>
      </c>
      <c r="O79" s="118">
        <v>0</v>
      </c>
      <c r="P79" s="118">
        <f t="shared" si="29"/>
        <v>62117</v>
      </c>
    </row>
    <row r="80" spans="1:16" ht="13.5" customHeight="1">
      <c r="A80" s="153" t="s">
        <v>122</v>
      </c>
      <c r="B80" s="126" t="s">
        <v>115</v>
      </c>
      <c r="C80" s="127">
        <f>SUM(C59+C62+C68+C71+C74+C77)</f>
        <v>0</v>
      </c>
      <c r="D80" s="127">
        <f>SUM(D59+D62+D65+D68+D71+D74+D77)</f>
        <v>107375</v>
      </c>
      <c r="E80" s="127">
        <f aca="true" t="shared" si="37" ref="E80:P80">SUM(E59+E62+E65+E68+E71+E74+E77)</f>
        <v>9336</v>
      </c>
      <c r="F80" s="127">
        <f t="shared" si="37"/>
        <v>10516</v>
      </c>
      <c r="G80" s="127">
        <f t="shared" si="37"/>
        <v>22111</v>
      </c>
      <c r="H80" s="127">
        <f t="shared" si="37"/>
        <v>167</v>
      </c>
      <c r="I80" s="127">
        <f t="shared" si="37"/>
        <v>1972</v>
      </c>
      <c r="J80" s="127">
        <f t="shared" si="37"/>
        <v>1207217</v>
      </c>
      <c r="K80" s="127">
        <f t="shared" si="37"/>
        <v>5828</v>
      </c>
      <c r="L80" s="127">
        <f t="shared" si="37"/>
        <v>31271</v>
      </c>
      <c r="M80" s="127">
        <f t="shared" si="37"/>
        <v>0</v>
      </c>
      <c r="N80" s="127">
        <f t="shared" si="37"/>
        <v>158412</v>
      </c>
      <c r="O80" s="127">
        <f t="shared" si="37"/>
        <v>2753</v>
      </c>
      <c r="P80" s="128">
        <f t="shared" si="37"/>
        <v>1556958</v>
      </c>
    </row>
    <row r="81" spans="1:16" ht="14.25">
      <c r="A81" s="153"/>
      <c r="B81" s="126" t="s">
        <v>94</v>
      </c>
      <c r="C81" s="129">
        <f>(C82-C80)</f>
        <v>0</v>
      </c>
      <c r="D81" s="129">
        <f aca="true" t="shared" si="38" ref="D81:O81">(D82-D80)</f>
        <v>0</v>
      </c>
      <c r="E81" s="129">
        <f t="shared" si="38"/>
        <v>0</v>
      </c>
      <c r="F81" s="129">
        <f t="shared" si="38"/>
        <v>0</v>
      </c>
      <c r="G81" s="129">
        <f t="shared" si="38"/>
        <v>0</v>
      </c>
      <c r="H81" s="129">
        <f t="shared" si="38"/>
        <v>0</v>
      </c>
      <c r="I81" s="129">
        <f t="shared" si="38"/>
        <v>0</v>
      </c>
      <c r="J81" s="129">
        <f t="shared" si="38"/>
        <v>0</v>
      </c>
      <c r="K81" s="129">
        <f t="shared" si="38"/>
        <v>0</v>
      </c>
      <c r="L81" s="129">
        <f t="shared" si="38"/>
        <v>0</v>
      </c>
      <c r="M81" s="129">
        <f t="shared" si="38"/>
        <v>0</v>
      </c>
      <c r="N81" s="129">
        <f t="shared" si="38"/>
        <v>0</v>
      </c>
      <c r="O81" s="129">
        <f t="shared" si="38"/>
        <v>0</v>
      </c>
      <c r="P81" s="137">
        <f>SUM(P60+P63+P66+P69+P72+P75+P78)</f>
        <v>0</v>
      </c>
    </row>
    <row r="82" spans="1:16" ht="14.25">
      <c r="A82" s="153"/>
      <c r="B82" s="150" t="s">
        <v>95</v>
      </c>
      <c r="C82" s="132">
        <f>SUM(C61+C64+C70+C73+C76+C79)</f>
        <v>0</v>
      </c>
      <c r="D82" s="132">
        <f>SUM(D61+D64+D67+D70+D73+D76+D79)</f>
        <v>107375</v>
      </c>
      <c r="E82" s="132">
        <f aca="true" t="shared" si="39" ref="E82:O82">SUM(E61+E64+E67+E70+E73+E76+E79)</f>
        <v>9336</v>
      </c>
      <c r="F82" s="132">
        <f t="shared" si="39"/>
        <v>10516</v>
      </c>
      <c r="G82" s="132">
        <f t="shared" si="39"/>
        <v>22111</v>
      </c>
      <c r="H82" s="132">
        <f t="shared" si="39"/>
        <v>167</v>
      </c>
      <c r="I82" s="132">
        <f t="shared" si="39"/>
        <v>1972</v>
      </c>
      <c r="J82" s="132">
        <f t="shared" si="39"/>
        <v>1207217</v>
      </c>
      <c r="K82" s="132">
        <f t="shared" si="39"/>
        <v>5828</v>
      </c>
      <c r="L82" s="132">
        <f t="shared" si="39"/>
        <v>31271</v>
      </c>
      <c r="M82" s="132">
        <f t="shared" si="39"/>
        <v>0</v>
      </c>
      <c r="N82" s="132">
        <f t="shared" si="39"/>
        <v>158412</v>
      </c>
      <c r="O82" s="132">
        <f t="shared" si="39"/>
        <v>2753</v>
      </c>
      <c r="P82" s="133">
        <f>SUM(P61+P64+P67+P70+P73+P76+P79)</f>
        <v>1556958</v>
      </c>
    </row>
    <row r="83" spans="1:16" ht="14.25" customHeight="1">
      <c r="A83" s="125" t="s">
        <v>123</v>
      </c>
      <c r="B83" s="126" t="s">
        <v>93</v>
      </c>
      <c r="C83" s="132">
        <v>0</v>
      </c>
      <c r="D83" s="132">
        <v>28358</v>
      </c>
      <c r="E83" s="132">
        <v>1207</v>
      </c>
      <c r="F83" s="132">
        <v>1244</v>
      </c>
      <c r="G83" s="132">
        <v>10616</v>
      </c>
      <c r="H83" s="132">
        <v>0</v>
      </c>
      <c r="I83" s="132">
        <v>0</v>
      </c>
      <c r="J83" s="132">
        <v>705027</v>
      </c>
      <c r="K83" s="132">
        <v>3641</v>
      </c>
      <c r="L83" s="132">
        <v>29840</v>
      </c>
      <c r="M83" s="132">
        <v>0</v>
      </c>
      <c r="N83" s="132">
        <v>54733</v>
      </c>
      <c r="O83" s="132">
        <v>0</v>
      </c>
      <c r="P83" s="133">
        <f>SUM(C83:O83)</f>
        <v>834666</v>
      </c>
    </row>
    <row r="84" spans="1:16" ht="14.25">
      <c r="A84" s="125"/>
      <c r="B84" s="150" t="s">
        <v>94</v>
      </c>
      <c r="C84" s="132">
        <f>C85-C83</f>
        <v>0</v>
      </c>
      <c r="D84" s="132">
        <f aca="true" t="shared" si="40" ref="D84:O84">D85-D83</f>
        <v>0</v>
      </c>
      <c r="E84" s="132">
        <f t="shared" si="40"/>
        <v>0</v>
      </c>
      <c r="F84" s="132">
        <f t="shared" si="40"/>
        <v>8352</v>
      </c>
      <c r="G84" s="132">
        <f t="shared" si="40"/>
        <v>0</v>
      </c>
      <c r="H84" s="132">
        <f t="shared" si="40"/>
        <v>0</v>
      </c>
      <c r="I84" s="132">
        <f t="shared" si="40"/>
        <v>0</v>
      </c>
      <c r="J84" s="132">
        <f t="shared" si="40"/>
        <v>18039</v>
      </c>
      <c r="K84" s="132">
        <f t="shared" si="40"/>
        <v>6153</v>
      </c>
      <c r="L84" s="132">
        <f t="shared" si="40"/>
        <v>0</v>
      </c>
      <c r="M84" s="132">
        <f t="shared" si="40"/>
        <v>0</v>
      </c>
      <c r="N84" s="132">
        <f t="shared" si="40"/>
        <v>0</v>
      </c>
      <c r="O84" s="132">
        <f t="shared" si="40"/>
        <v>0</v>
      </c>
      <c r="P84" s="132">
        <f>SUM(C84:O84)</f>
        <v>32544</v>
      </c>
    </row>
    <row r="85" spans="1:16" ht="14.25">
      <c r="A85" s="125"/>
      <c r="B85" s="152" t="s">
        <v>95</v>
      </c>
      <c r="C85" s="135">
        <v>0</v>
      </c>
      <c r="D85" s="135">
        <v>28358</v>
      </c>
      <c r="E85" s="135">
        <v>1207</v>
      </c>
      <c r="F85" s="135">
        <v>9596</v>
      </c>
      <c r="G85" s="135">
        <v>10616</v>
      </c>
      <c r="H85" s="135">
        <v>0</v>
      </c>
      <c r="I85" s="135">
        <v>0</v>
      </c>
      <c r="J85" s="154">
        <v>723066</v>
      </c>
      <c r="K85" s="135">
        <v>9794</v>
      </c>
      <c r="L85" s="135">
        <v>29840</v>
      </c>
      <c r="M85" s="135">
        <v>0</v>
      </c>
      <c r="N85" s="135">
        <v>54733</v>
      </c>
      <c r="O85" s="135">
        <v>0</v>
      </c>
      <c r="P85" s="135">
        <f>SUM(C85:O85)</f>
        <v>867210</v>
      </c>
    </row>
    <row r="86" spans="1:16" ht="14.25" customHeight="1">
      <c r="A86" s="147" t="s">
        <v>124</v>
      </c>
      <c r="B86" s="138" t="s">
        <v>93</v>
      </c>
      <c r="C86" s="129">
        <v>0</v>
      </c>
      <c r="D86" s="129">
        <v>25486</v>
      </c>
      <c r="E86" s="129">
        <v>2684</v>
      </c>
      <c r="F86" s="129">
        <v>389</v>
      </c>
      <c r="G86" s="129">
        <v>0</v>
      </c>
      <c r="H86" s="129">
        <v>0</v>
      </c>
      <c r="I86" s="129">
        <v>0</v>
      </c>
      <c r="J86" s="129">
        <v>565409</v>
      </c>
      <c r="K86" s="129">
        <v>0</v>
      </c>
      <c r="L86" s="129">
        <v>12524</v>
      </c>
      <c r="M86" s="129">
        <v>0</v>
      </c>
      <c r="N86" s="129">
        <v>11922</v>
      </c>
      <c r="O86" s="129">
        <v>0</v>
      </c>
      <c r="P86" s="130">
        <f>SUM(C86:O86)</f>
        <v>618414</v>
      </c>
    </row>
    <row r="87" spans="1:16" ht="14.25">
      <c r="A87" s="147"/>
      <c r="B87" s="152" t="s">
        <v>94</v>
      </c>
      <c r="C87" s="132">
        <f>C88-C86</f>
        <v>0</v>
      </c>
      <c r="D87" s="132">
        <f aca="true" t="shared" si="41" ref="D87:O87">D88-D86</f>
        <v>21700</v>
      </c>
      <c r="E87" s="132">
        <f t="shared" si="41"/>
        <v>1327</v>
      </c>
      <c r="F87" s="132">
        <f t="shared" si="41"/>
        <v>1057</v>
      </c>
      <c r="G87" s="132">
        <f t="shared" si="41"/>
        <v>12939</v>
      </c>
      <c r="H87" s="132">
        <f t="shared" si="41"/>
        <v>14</v>
      </c>
      <c r="I87" s="132">
        <f t="shared" si="41"/>
        <v>103</v>
      </c>
      <c r="J87" s="132">
        <f t="shared" si="41"/>
        <v>21018</v>
      </c>
      <c r="K87" s="132">
        <f t="shared" si="41"/>
        <v>412</v>
      </c>
      <c r="L87" s="132">
        <f t="shared" si="41"/>
        <v>0</v>
      </c>
      <c r="M87" s="132">
        <f t="shared" si="41"/>
        <v>0</v>
      </c>
      <c r="N87" s="132">
        <f t="shared" si="41"/>
        <v>0</v>
      </c>
      <c r="O87" s="132">
        <f t="shared" si="41"/>
        <v>0</v>
      </c>
      <c r="P87" s="132">
        <f>SUM(D87:O87)</f>
        <v>58570</v>
      </c>
    </row>
    <row r="88" spans="1:16" ht="14.25">
      <c r="A88" s="147"/>
      <c r="B88" s="138" t="s">
        <v>95</v>
      </c>
      <c r="C88" s="132">
        <v>0</v>
      </c>
      <c r="D88" s="132">
        <v>47186</v>
      </c>
      <c r="E88" s="132">
        <v>4011</v>
      </c>
      <c r="F88" s="132">
        <v>1446</v>
      </c>
      <c r="G88" s="132">
        <v>12939</v>
      </c>
      <c r="H88" s="132">
        <v>14</v>
      </c>
      <c r="I88" s="132">
        <v>103</v>
      </c>
      <c r="J88" s="155">
        <v>586427</v>
      </c>
      <c r="K88" s="132">
        <v>412</v>
      </c>
      <c r="L88" s="132">
        <v>12524</v>
      </c>
      <c r="M88" s="132">
        <v>0</v>
      </c>
      <c r="N88" s="132">
        <v>11922</v>
      </c>
      <c r="O88" s="132">
        <v>0</v>
      </c>
      <c r="P88" s="132">
        <f>SUM(D88:O88)</f>
        <v>676984</v>
      </c>
    </row>
    <row r="89" spans="1:16" ht="14.25" customHeight="1">
      <c r="A89" s="125" t="s">
        <v>125</v>
      </c>
      <c r="B89" s="138" t="s">
        <v>93</v>
      </c>
      <c r="C89" s="132">
        <f>SUM(C23,C26,C29,C38,C41,C56,C80,C83,C86)</f>
        <v>0</v>
      </c>
      <c r="D89" s="132">
        <f aca="true" t="shared" si="42" ref="D89:P91">SUM(D23,D26,D29,D38,D41,D56,D80,D83,D86)</f>
        <v>718543</v>
      </c>
      <c r="E89" s="132">
        <f t="shared" si="42"/>
        <v>84393</v>
      </c>
      <c r="F89" s="132">
        <f t="shared" si="42"/>
        <v>19549</v>
      </c>
      <c r="G89" s="132">
        <f t="shared" si="42"/>
        <v>32727</v>
      </c>
      <c r="H89" s="132">
        <f t="shared" si="42"/>
        <v>197</v>
      </c>
      <c r="I89" s="132">
        <f t="shared" si="42"/>
        <v>1972</v>
      </c>
      <c r="J89" s="132">
        <f t="shared" si="42"/>
        <v>8484538</v>
      </c>
      <c r="K89" s="132">
        <f t="shared" si="42"/>
        <v>37617</v>
      </c>
      <c r="L89" s="132">
        <f t="shared" si="42"/>
        <v>85859</v>
      </c>
      <c r="M89" s="132">
        <f t="shared" si="42"/>
        <v>0</v>
      </c>
      <c r="N89" s="132">
        <f t="shared" si="42"/>
        <v>340292</v>
      </c>
      <c r="O89" s="132">
        <f t="shared" si="42"/>
        <v>2753</v>
      </c>
      <c r="P89" s="132">
        <f t="shared" si="42"/>
        <v>9808440</v>
      </c>
    </row>
    <row r="90" spans="1:16" ht="14.25">
      <c r="A90" s="125"/>
      <c r="B90" s="152" t="s">
        <v>94</v>
      </c>
      <c r="C90" s="132">
        <f>SUM(C24,C27,C30,C39,C42,C57,C81,C84,C87)</f>
        <v>0</v>
      </c>
      <c r="D90" s="132">
        <f t="shared" si="42"/>
        <v>7817</v>
      </c>
      <c r="E90" s="132">
        <f t="shared" si="42"/>
        <v>19236</v>
      </c>
      <c r="F90" s="132">
        <f t="shared" si="42"/>
        <v>13839</v>
      </c>
      <c r="G90" s="132">
        <f t="shared" si="42"/>
        <v>12939</v>
      </c>
      <c r="H90" s="132">
        <f t="shared" si="42"/>
        <v>14</v>
      </c>
      <c r="I90" s="132">
        <f t="shared" si="42"/>
        <v>103</v>
      </c>
      <c r="J90" s="132">
        <f t="shared" si="42"/>
        <v>95437</v>
      </c>
      <c r="K90" s="132">
        <f t="shared" si="42"/>
        <v>8658</v>
      </c>
      <c r="L90" s="132">
        <f t="shared" si="42"/>
        <v>271</v>
      </c>
      <c r="M90" s="132">
        <f t="shared" si="42"/>
        <v>0</v>
      </c>
      <c r="N90" s="132">
        <f t="shared" si="42"/>
        <v>0</v>
      </c>
      <c r="O90" s="132">
        <f t="shared" si="42"/>
        <v>0</v>
      </c>
      <c r="P90" s="132">
        <f t="shared" si="42"/>
        <v>158314</v>
      </c>
    </row>
    <row r="91" spans="1:16" ht="14.25">
      <c r="A91" s="125"/>
      <c r="B91" s="138" t="s">
        <v>95</v>
      </c>
      <c r="C91" s="132">
        <f>SUM(C25,C28,C31,C40,C43,C58,C82,C85,C88)</f>
        <v>0</v>
      </c>
      <c r="D91" s="132">
        <f t="shared" si="42"/>
        <v>726360</v>
      </c>
      <c r="E91" s="132">
        <f t="shared" si="42"/>
        <v>103629</v>
      </c>
      <c r="F91" s="132">
        <f t="shared" si="42"/>
        <v>33388</v>
      </c>
      <c r="G91" s="132">
        <f t="shared" si="42"/>
        <v>45666</v>
      </c>
      <c r="H91" s="132">
        <f t="shared" si="42"/>
        <v>211</v>
      </c>
      <c r="I91" s="132">
        <f t="shared" si="42"/>
        <v>2075</v>
      </c>
      <c r="J91" s="132">
        <f t="shared" si="42"/>
        <v>8579975</v>
      </c>
      <c r="K91" s="132">
        <f t="shared" si="42"/>
        <v>46275</v>
      </c>
      <c r="L91" s="132">
        <f t="shared" si="42"/>
        <v>86130</v>
      </c>
      <c r="M91" s="132">
        <f t="shared" si="42"/>
        <v>0</v>
      </c>
      <c r="N91" s="132">
        <f t="shared" si="42"/>
        <v>340292</v>
      </c>
      <c r="O91" s="132">
        <f t="shared" si="42"/>
        <v>2753</v>
      </c>
      <c r="P91" s="132">
        <f t="shared" si="42"/>
        <v>9966754</v>
      </c>
    </row>
    <row r="92" spans="1:16" ht="13.5" customHeight="1">
      <c r="A92" s="119" t="s">
        <v>126</v>
      </c>
      <c r="B92" s="120" t="s">
        <v>93</v>
      </c>
      <c r="C92" s="121">
        <v>0</v>
      </c>
      <c r="D92" s="121">
        <v>94124</v>
      </c>
      <c r="E92" s="121">
        <v>14765</v>
      </c>
      <c r="F92" s="121">
        <v>4403</v>
      </c>
      <c r="G92" s="121">
        <v>0</v>
      </c>
      <c r="H92" s="121">
        <v>1</v>
      </c>
      <c r="I92" s="121">
        <v>3</v>
      </c>
      <c r="J92" s="121">
        <v>186180</v>
      </c>
      <c r="K92" s="121">
        <v>8757</v>
      </c>
      <c r="L92" s="121">
        <v>0</v>
      </c>
      <c r="M92" s="121">
        <v>0</v>
      </c>
      <c r="N92" s="121">
        <v>21058</v>
      </c>
      <c r="O92" s="121">
        <v>12892</v>
      </c>
      <c r="P92" s="124">
        <f>SUM(D92:O92)</f>
        <v>342183</v>
      </c>
    </row>
    <row r="93" spans="1:16" ht="14.25">
      <c r="A93" s="119"/>
      <c r="B93" s="113" t="s">
        <v>94</v>
      </c>
      <c r="C93" s="114">
        <v>0</v>
      </c>
      <c r="D93" s="114">
        <f aca="true" t="shared" si="43" ref="D93:O93">(D94-D92)</f>
        <v>7387</v>
      </c>
      <c r="E93" s="114">
        <f t="shared" si="43"/>
        <v>740</v>
      </c>
      <c r="F93" s="114">
        <f t="shared" si="43"/>
        <v>1150</v>
      </c>
      <c r="G93" s="114">
        <f t="shared" si="43"/>
        <v>0</v>
      </c>
      <c r="H93" s="114">
        <f t="shared" si="43"/>
        <v>0</v>
      </c>
      <c r="I93" s="114">
        <f t="shared" si="43"/>
        <v>50</v>
      </c>
      <c r="J93" s="114">
        <f t="shared" si="43"/>
        <v>441</v>
      </c>
      <c r="K93" s="114">
        <f t="shared" si="43"/>
        <v>2683</v>
      </c>
      <c r="L93" s="114">
        <f t="shared" si="43"/>
        <v>0</v>
      </c>
      <c r="M93" s="114">
        <f t="shared" si="43"/>
        <v>0</v>
      </c>
      <c r="N93" s="114">
        <f t="shared" si="43"/>
        <v>0</v>
      </c>
      <c r="O93" s="114">
        <f t="shared" si="43"/>
        <v>0</v>
      </c>
      <c r="P93" s="115">
        <f aca="true" t="shared" si="44" ref="P93:P103">SUM(C93:O93)</f>
        <v>12451</v>
      </c>
    </row>
    <row r="94" spans="1:16" ht="14.25">
      <c r="A94" s="119"/>
      <c r="B94" s="116" t="s">
        <v>95</v>
      </c>
      <c r="C94" s="118">
        <v>0</v>
      </c>
      <c r="D94" s="118">
        <v>101511</v>
      </c>
      <c r="E94" s="118">
        <v>15505</v>
      </c>
      <c r="F94" s="118">
        <v>5553</v>
      </c>
      <c r="G94" s="118">
        <v>0</v>
      </c>
      <c r="H94" s="118">
        <v>1</v>
      </c>
      <c r="I94" s="118">
        <v>53</v>
      </c>
      <c r="J94" s="118">
        <v>186621</v>
      </c>
      <c r="K94" s="118">
        <v>11440</v>
      </c>
      <c r="L94" s="118">
        <v>0</v>
      </c>
      <c r="M94" s="118">
        <v>0</v>
      </c>
      <c r="N94" s="118">
        <v>21058</v>
      </c>
      <c r="O94" s="118">
        <v>12892</v>
      </c>
      <c r="P94" s="115">
        <f t="shared" si="44"/>
        <v>354634</v>
      </c>
    </row>
    <row r="95" spans="1:16" ht="13.5" customHeight="1">
      <c r="A95" s="119" t="s">
        <v>127</v>
      </c>
      <c r="B95" s="120" t="s">
        <v>93</v>
      </c>
      <c r="C95" s="121">
        <v>0</v>
      </c>
      <c r="D95" s="121">
        <v>3061</v>
      </c>
      <c r="E95" s="121">
        <v>0</v>
      </c>
      <c r="F95" s="121">
        <v>219</v>
      </c>
      <c r="G95" s="121">
        <v>0</v>
      </c>
      <c r="H95" s="121">
        <v>0</v>
      </c>
      <c r="I95" s="121">
        <v>0</v>
      </c>
      <c r="J95" s="121">
        <v>26961</v>
      </c>
      <c r="K95" s="121">
        <v>50</v>
      </c>
      <c r="L95" s="121">
        <v>0</v>
      </c>
      <c r="M95" s="121">
        <v>0</v>
      </c>
      <c r="N95" s="121">
        <v>552</v>
      </c>
      <c r="O95" s="121">
        <v>0</v>
      </c>
      <c r="P95" s="124">
        <f t="shared" si="44"/>
        <v>30843</v>
      </c>
    </row>
    <row r="96" spans="1:16" ht="12" customHeight="1">
      <c r="A96" s="119"/>
      <c r="B96" s="113" t="s">
        <v>94</v>
      </c>
      <c r="C96" s="114">
        <f aca="true" t="shared" si="45" ref="C96:O96">(C97-C95)</f>
        <v>0</v>
      </c>
      <c r="D96" s="114">
        <f t="shared" si="45"/>
        <v>476</v>
      </c>
      <c r="E96" s="114">
        <f t="shared" si="45"/>
        <v>0</v>
      </c>
      <c r="F96" s="114">
        <f t="shared" si="45"/>
        <v>0</v>
      </c>
      <c r="G96" s="114">
        <f t="shared" si="45"/>
        <v>0</v>
      </c>
      <c r="H96" s="114">
        <f t="shared" si="45"/>
        <v>0</v>
      </c>
      <c r="I96" s="114">
        <f t="shared" si="45"/>
        <v>2</v>
      </c>
      <c r="J96" s="114">
        <f t="shared" si="45"/>
        <v>185</v>
      </c>
      <c r="K96" s="114">
        <f t="shared" si="45"/>
        <v>0</v>
      </c>
      <c r="L96" s="114">
        <f t="shared" si="45"/>
        <v>0</v>
      </c>
      <c r="M96" s="114">
        <f t="shared" si="45"/>
        <v>0</v>
      </c>
      <c r="N96" s="114">
        <f t="shared" si="45"/>
        <v>0</v>
      </c>
      <c r="O96" s="114">
        <f t="shared" si="45"/>
        <v>0</v>
      </c>
      <c r="P96" s="115">
        <f t="shared" si="44"/>
        <v>663</v>
      </c>
    </row>
    <row r="97" spans="1:16" ht="14.25">
      <c r="A97" s="119"/>
      <c r="B97" s="116" t="s">
        <v>95</v>
      </c>
      <c r="C97" s="118">
        <v>0</v>
      </c>
      <c r="D97" s="118">
        <v>3537</v>
      </c>
      <c r="E97" s="118">
        <v>0</v>
      </c>
      <c r="F97" s="118">
        <v>219</v>
      </c>
      <c r="G97" s="118">
        <v>0</v>
      </c>
      <c r="H97" s="118">
        <v>0</v>
      </c>
      <c r="I97" s="118">
        <v>2</v>
      </c>
      <c r="J97" s="118">
        <v>27146</v>
      </c>
      <c r="K97" s="118">
        <v>50</v>
      </c>
      <c r="L97" s="118">
        <v>0</v>
      </c>
      <c r="M97" s="118">
        <v>0</v>
      </c>
      <c r="N97" s="118">
        <v>552</v>
      </c>
      <c r="O97" s="118">
        <v>0</v>
      </c>
      <c r="P97" s="115">
        <f t="shared" si="44"/>
        <v>31506</v>
      </c>
    </row>
    <row r="98" spans="1:16" ht="14.25" customHeight="1">
      <c r="A98" s="119" t="s">
        <v>128</v>
      </c>
      <c r="B98" s="120" t="s">
        <v>93</v>
      </c>
      <c r="C98" s="121">
        <v>0</v>
      </c>
      <c r="D98" s="121">
        <v>0</v>
      </c>
      <c r="E98" s="121">
        <v>0</v>
      </c>
      <c r="F98" s="121">
        <v>2554</v>
      </c>
      <c r="G98" s="121">
        <v>587</v>
      </c>
      <c r="H98" s="121">
        <v>0</v>
      </c>
      <c r="I98" s="121">
        <v>0</v>
      </c>
      <c r="J98" s="121">
        <v>23707</v>
      </c>
      <c r="K98" s="121">
        <v>0</v>
      </c>
      <c r="L98" s="121">
        <v>0</v>
      </c>
      <c r="M98" s="121">
        <v>0</v>
      </c>
      <c r="N98" s="121">
        <v>743</v>
      </c>
      <c r="O98" s="121">
        <v>0</v>
      </c>
      <c r="P98" s="124">
        <f t="shared" si="44"/>
        <v>27591</v>
      </c>
    </row>
    <row r="99" spans="1:16" ht="10.5" customHeight="1">
      <c r="A99" s="119"/>
      <c r="B99" s="113" t="s">
        <v>94</v>
      </c>
      <c r="C99" s="114">
        <f>(C100-C98)</f>
        <v>0</v>
      </c>
      <c r="D99" s="114">
        <f aca="true" t="shared" si="46" ref="D99:O99">(D100-D98)</f>
        <v>401</v>
      </c>
      <c r="E99" s="114">
        <f t="shared" si="46"/>
        <v>0</v>
      </c>
      <c r="F99" s="114">
        <f t="shared" si="46"/>
        <v>1536</v>
      </c>
      <c r="G99" s="114">
        <f t="shared" si="46"/>
        <v>0</v>
      </c>
      <c r="H99" s="114">
        <f t="shared" si="46"/>
        <v>0</v>
      </c>
      <c r="I99" s="114">
        <f t="shared" si="46"/>
        <v>0</v>
      </c>
      <c r="J99" s="114">
        <f t="shared" si="46"/>
        <v>158</v>
      </c>
      <c r="K99" s="114">
        <f t="shared" si="46"/>
        <v>0</v>
      </c>
      <c r="L99" s="114">
        <f t="shared" si="46"/>
        <v>28</v>
      </c>
      <c r="M99" s="114">
        <f t="shared" si="46"/>
        <v>0</v>
      </c>
      <c r="N99" s="114">
        <f t="shared" si="46"/>
        <v>0</v>
      </c>
      <c r="O99" s="114">
        <f t="shared" si="46"/>
        <v>0</v>
      </c>
      <c r="P99" s="115">
        <f t="shared" si="44"/>
        <v>2123</v>
      </c>
    </row>
    <row r="100" spans="1:16" ht="14.25">
      <c r="A100" s="119"/>
      <c r="B100" s="116" t="s">
        <v>95</v>
      </c>
      <c r="C100" s="118">
        <v>0</v>
      </c>
      <c r="D100" s="118">
        <v>401</v>
      </c>
      <c r="E100" s="118">
        <v>0</v>
      </c>
      <c r="F100" s="118">
        <v>4090</v>
      </c>
      <c r="G100" s="118">
        <v>587</v>
      </c>
      <c r="H100" s="118">
        <v>0</v>
      </c>
      <c r="I100" s="118">
        <v>0</v>
      </c>
      <c r="J100" s="118">
        <v>23865</v>
      </c>
      <c r="K100" s="118">
        <v>0</v>
      </c>
      <c r="L100" s="118">
        <v>28</v>
      </c>
      <c r="M100" s="118">
        <v>0</v>
      </c>
      <c r="N100" s="118">
        <v>743</v>
      </c>
      <c r="O100" s="118">
        <v>0</v>
      </c>
      <c r="P100" s="118">
        <f t="shared" si="44"/>
        <v>29714</v>
      </c>
    </row>
    <row r="101" spans="1:16" ht="14.25">
      <c r="A101" s="136" t="s">
        <v>129</v>
      </c>
      <c r="B101" s="120" t="s">
        <v>93</v>
      </c>
      <c r="C101" s="121">
        <v>0</v>
      </c>
      <c r="D101" s="121">
        <v>3600</v>
      </c>
      <c r="E101" s="121">
        <v>0</v>
      </c>
      <c r="F101" s="121">
        <v>28</v>
      </c>
      <c r="G101" s="121">
        <v>0</v>
      </c>
      <c r="H101" s="121">
        <v>0</v>
      </c>
      <c r="I101" s="121">
        <v>0</v>
      </c>
      <c r="J101" s="121">
        <v>12217</v>
      </c>
      <c r="K101" s="121">
        <v>0</v>
      </c>
      <c r="L101" s="121">
        <v>0</v>
      </c>
      <c r="M101" s="121">
        <v>0</v>
      </c>
      <c r="N101" s="121">
        <v>1919</v>
      </c>
      <c r="O101" s="121">
        <v>0</v>
      </c>
      <c r="P101" s="115">
        <f t="shared" si="44"/>
        <v>17764</v>
      </c>
    </row>
    <row r="102" spans="1:16" ht="14.25">
      <c r="A102" s="136"/>
      <c r="B102" s="113" t="s">
        <v>94</v>
      </c>
      <c r="C102" s="114">
        <f>(C103-C101)</f>
        <v>0</v>
      </c>
      <c r="D102" s="114">
        <f aca="true" t="shared" si="47" ref="D102:O102">(D103-D101)</f>
        <v>30</v>
      </c>
      <c r="E102" s="114">
        <f t="shared" si="47"/>
        <v>0</v>
      </c>
      <c r="F102" s="114">
        <f t="shared" si="47"/>
        <v>0</v>
      </c>
      <c r="G102" s="114">
        <f t="shared" si="47"/>
        <v>0</v>
      </c>
      <c r="H102" s="114">
        <f t="shared" si="47"/>
        <v>0</v>
      </c>
      <c r="I102" s="114">
        <f t="shared" si="47"/>
        <v>0</v>
      </c>
      <c r="J102" s="114">
        <f t="shared" si="47"/>
        <v>79</v>
      </c>
      <c r="K102" s="114">
        <f t="shared" si="47"/>
        <v>0</v>
      </c>
      <c r="L102" s="114">
        <f t="shared" si="47"/>
        <v>0</v>
      </c>
      <c r="M102" s="114">
        <f t="shared" si="47"/>
        <v>0</v>
      </c>
      <c r="N102" s="114">
        <f t="shared" si="47"/>
        <v>0</v>
      </c>
      <c r="O102" s="114">
        <f t="shared" si="47"/>
        <v>0</v>
      </c>
      <c r="P102" s="115">
        <f t="shared" si="44"/>
        <v>109</v>
      </c>
    </row>
    <row r="103" spans="1:16" ht="14.25">
      <c r="A103" s="136"/>
      <c r="B103" s="116" t="s">
        <v>95</v>
      </c>
      <c r="C103" s="118">
        <v>0</v>
      </c>
      <c r="D103" s="118">
        <v>3630</v>
      </c>
      <c r="E103" s="118">
        <v>0</v>
      </c>
      <c r="F103" s="118">
        <v>28</v>
      </c>
      <c r="G103" s="118">
        <v>0</v>
      </c>
      <c r="H103" s="118">
        <v>0</v>
      </c>
      <c r="I103" s="118">
        <v>0</v>
      </c>
      <c r="J103" s="118">
        <v>12296</v>
      </c>
      <c r="K103" s="118">
        <v>0</v>
      </c>
      <c r="L103" s="118">
        <v>0</v>
      </c>
      <c r="M103" s="118">
        <v>0</v>
      </c>
      <c r="N103" s="118">
        <v>1919</v>
      </c>
      <c r="O103" s="118">
        <v>0</v>
      </c>
      <c r="P103" s="115">
        <f t="shared" si="44"/>
        <v>17873</v>
      </c>
    </row>
    <row r="104" spans="1:16" ht="13.5" customHeight="1">
      <c r="A104" s="125" t="s">
        <v>130</v>
      </c>
      <c r="B104" s="126" t="s">
        <v>93</v>
      </c>
      <c r="C104" s="135">
        <f aca="true" t="shared" si="48" ref="C104:P104">SUM(C92+C95+C98+C101)</f>
        <v>0</v>
      </c>
      <c r="D104" s="135">
        <f t="shared" si="48"/>
        <v>100785</v>
      </c>
      <c r="E104" s="135">
        <f t="shared" si="48"/>
        <v>14765</v>
      </c>
      <c r="F104" s="135">
        <f t="shared" si="48"/>
        <v>7204</v>
      </c>
      <c r="G104" s="135">
        <f t="shared" si="48"/>
        <v>587</v>
      </c>
      <c r="H104" s="135">
        <f t="shared" si="48"/>
        <v>1</v>
      </c>
      <c r="I104" s="135">
        <f t="shared" si="48"/>
        <v>3</v>
      </c>
      <c r="J104" s="135">
        <f t="shared" si="48"/>
        <v>249065</v>
      </c>
      <c r="K104" s="135">
        <f t="shared" si="48"/>
        <v>8807</v>
      </c>
      <c r="L104" s="135">
        <f t="shared" si="48"/>
        <v>0</v>
      </c>
      <c r="M104" s="135">
        <f t="shared" si="48"/>
        <v>0</v>
      </c>
      <c r="N104" s="135">
        <f t="shared" si="48"/>
        <v>24272</v>
      </c>
      <c r="O104" s="135">
        <f t="shared" si="48"/>
        <v>12892</v>
      </c>
      <c r="P104" s="137">
        <f t="shared" si="48"/>
        <v>418381</v>
      </c>
    </row>
    <row r="105" spans="1:16" ht="14.25">
      <c r="A105" s="125"/>
      <c r="B105" s="126" t="s">
        <v>94</v>
      </c>
      <c r="C105" s="129">
        <f>(C106-C104)</f>
        <v>0</v>
      </c>
      <c r="D105" s="129">
        <f aca="true" t="shared" si="49" ref="D105:P105">(D106-D104)</f>
        <v>8294</v>
      </c>
      <c r="E105" s="129">
        <f t="shared" si="49"/>
        <v>740</v>
      </c>
      <c r="F105" s="129">
        <f t="shared" si="49"/>
        <v>2686</v>
      </c>
      <c r="G105" s="129">
        <f t="shared" si="49"/>
        <v>0</v>
      </c>
      <c r="H105" s="129">
        <f t="shared" si="49"/>
        <v>0</v>
      </c>
      <c r="I105" s="129">
        <f t="shared" si="49"/>
        <v>52</v>
      </c>
      <c r="J105" s="129">
        <f t="shared" si="49"/>
        <v>863</v>
      </c>
      <c r="K105" s="129">
        <f t="shared" si="49"/>
        <v>2683</v>
      </c>
      <c r="L105" s="129">
        <f t="shared" si="49"/>
        <v>28</v>
      </c>
      <c r="M105" s="129">
        <f t="shared" si="49"/>
        <v>0</v>
      </c>
      <c r="N105" s="129">
        <f t="shared" si="49"/>
        <v>0</v>
      </c>
      <c r="O105" s="129">
        <f t="shared" si="49"/>
        <v>0</v>
      </c>
      <c r="P105" s="130">
        <f t="shared" si="49"/>
        <v>15346</v>
      </c>
    </row>
    <row r="106" spans="1:16" ht="14.25">
      <c r="A106" s="125"/>
      <c r="B106" s="138" t="s">
        <v>95</v>
      </c>
      <c r="C106" s="135">
        <f aca="true" t="shared" si="50" ref="C106:P106">SUM(C94+C97+C100+C103)</f>
        <v>0</v>
      </c>
      <c r="D106" s="135">
        <f t="shared" si="50"/>
        <v>109079</v>
      </c>
      <c r="E106" s="135">
        <f t="shared" si="50"/>
        <v>15505</v>
      </c>
      <c r="F106" s="135">
        <f t="shared" si="50"/>
        <v>9890</v>
      </c>
      <c r="G106" s="135">
        <f t="shared" si="50"/>
        <v>587</v>
      </c>
      <c r="H106" s="135">
        <f t="shared" si="50"/>
        <v>1</v>
      </c>
      <c r="I106" s="135">
        <f t="shared" si="50"/>
        <v>55</v>
      </c>
      <c r="J106" s="135">
        <f t="shared" si="50"/>
        <v>249928</v>
      </c>
      <c r="K106" s="135">
        <f t="shared" si="50"/>
        <v>11490</v>
      </c>
      <c r="L106" s="135">
        <f t="shared" si="50"/>
        <v>28</v>
      </c>
      <c r="M106" s="135">
        <f t="shared" si="50"/>
        <v>0</v>
      </c>
      <c r="N106" s="135">
        <f t="shared" si="50"/>
        <v>24272</v>
      </c>
      <c r="O106" s="135">
        <f t="shared" si="50"/>
        <v>12892</v>
      </c>
      <c r="P106" s="137">
        <f t="shared" si="50"/>
        <v>433727</v>
      </c>
    </row>
    <row r="107" spans="1:16" ht="14.25" customHeight="1">
      <c r="A107" s="134" t="s">
        <v>131</v>
      </c>
      <c r="B107" s="126" t="s">
        <v>93</v>
      </c>
      <c r="C107" s="135">
        <v>0</v>
      </c>
      <c r="D107" s="135">
        <v>78000</v>
      </c>
      <c r="E107" s="135">
        <v>42000</v>
      </c>
      <c r="F107" s="135">
        <v>1000</v>
      </c>
      <c r="G107" s="135">
        <v>0</v>
      </c>
      <c r="H107" s="135">
        <v>0</v>
      </c>
      <c r="I107" s="135">
        <v>0</v>
      </c>
      <c r="J107" s="135">
        <v>411879</v>
      </c>
      <c r="K107" s="135">
        <v>4333</v>
      </c>
      <c r="L107" s="135">
        <v>500</v>
      </c>
      <c r="M107" s="135">
        <v>0</v>
      </c>
      <c r="N107" s="135">
        <v>24444</v>
      </c>
      <c r="O107" s="135">
        <v>0</v>
      </c>
      <c r="P107" s="137">
        <f>SUM(C107:O107)</f>
        <v>562156</v>
      </c>
    </row>
    <row r="108" spans="1:16" ht="14.25">
      <c r="A108" s="134"/>
      <c r="B108" s="138" t="s">
        <v>94</v>
      </c>
      <c r="C108" s="127">
        <f>(C109-C107)</f>
        <v>0</v>
      </c>
      <c r="D108" s="127">
        <f aca="true" t="shared" si="51" ref="D108:O108">(D109-D107)</f>
        <v>27000</v>
      </c>
      <c r="E108" s="127">
        <f t="shared" si="51"/>
        <v>0</v>
      </c>
      <c r="F108" s="127">
        <f t="shared" si="51"/>
        <v>0</v>
      </c>
      <c r="G108" s="127">
        <f t="shared" si="51"/>
        <v>0</v>
      </c>
      <c r="H108" s="127">
        <f t="shared" si="51"/>
        <v>0</v>
      </c>
      <c r="I108" s="127">
        <f t="shared" si="51"/>
        <v>0</v>
      </c>
      <c r="J108" s="127">
        <f t="shared" si="51"/>
        <v>2403</v>
      </c>
      <c r="K108" s="127">
        <f t="shared" si="51"/>
        <v>0</v>
      </c>
      <c r="L108" s="127">
        <f t="shared" si="51"/>
        <v>0</v>
      </c>
      <c r="M108" s="127">
        <f t="shared" si="51"/>
        <v>0</v>
      </c>
      <c r="N108" s="127">
        <f t="shared" si="51"/>
        <v>0</v>
      </c>
      <c r="O108" s="127">
        <f t="shared" si="51"/>
        <v>0</v>
      </c>
      <c r="P108" s="128">
        <f>SUM(C108:O108)</f>
        <v>29403</v>
      </c>
    </row>
    <row r="109" spans="1:16" ht="14.25">
      <c r="A109" s="134"/>
      <c r="B109" s="138" t="s">
        <v>95</v>
      </c>
      <c r="C109" s="156">
        <v>0</v>
      </c>
      <c r="D109" s="156">
        <v>105000</v>
      </c>
      <c r="E109" s="156">
        <v>42000</v>
      </c>
      <c r="F109" s="156">
        <v>1000</v>
      </c>
      <c r="G109" s="156">
        <v>0</v>
      </c>
      <c r="H109" s="156">
        <v>0</v>
      </c>
      <c r="I109" s="156">
        <v>0</v>
      </c>
      <c r="J109" s="156">
        <v>414282</v>
      </c>
      <c r="K109" s="156">
        <v>4333</v>
      </c>
      <c r="L109" s="156">
        <v>500</v>
      </c>
      <c r="M109" s="156">
        <v>0</v>
      </c>
      <c r="N109" s="156">
        <v>24444</v>
      </c>
      <c r="O109" s="156">
        <v>0</v>
      </c>
      <c r="P109" s="128">
        <f>SUM(C109:O109)</f>
        <v>591559</v>
      </c>
    </row>
    <row r="110" spans="1:16" ht="14.25" customHeight="1">
      <c r="A110" s="134" t="s">
        <v>132</v>
      </c>
      <c r="B110" s="126" t="s">
        <v>93</v>
      </c>
      <c r="C110" s="135">
        <v>0</v>
      </c>
      <c r="D110" s="135">
        <v>22674</v>
      </c>
      <c r="E110" s="135">
        <v>6116</v>
      </c>
      <c r="F110" s="135">
        <v>12970</v>
      </c>
      <c r="G110" s="135">
        <v>0</v>
      </c>
      <c r="H110" s="135">
        <v>0</v>
      </c>
      <c r="I110" s="135">
        <v>0</v>
      </c>
      <c r="J110" s="135">
        <v>72634</v>
      </c>
      <c r="K110" s="135">
        <v>200</v>
      </c>
      <c r="L110" s="135">
        <v>0</v>
      </c>
      <c r="M110" s="135">
        <v>0</v>
      </c>
      <c r="N110" s="135">
        <v>8380</v>
      </c>
      <c r="O110" s="135">
        <v>0</v>
      </c>
      <c r="P110" s="137">
        <f>SUM(C110:O110)</f>
        <v>122974</v>
      </c>
    </row>
    <row r="111" spans="1:16" ht="12" customHeight="1">
      <c r="A111" s="134"/>
      <c r="B111" s="138" t="s">
        <v>94</v>
      </c>
      <c r="C111" s="127">
        <f>(C112-C110)</f>
        <v>0</v>
      </c>
      <c r="D111" s="127">
        <f aca="true" t="shared" si="52" ref="D111:P111">(D112-D110)</f>
        <v>2680</v>
      </c>
      <c r="E111" s="127">
        <f t="shared" si="52"/>
        <v>0</v>
      </c>
      <c r="F111" s="127">
        <f t="shared" si="52"/>
        <v>6500</v>
      </c>
      <c r="G111" s="127">
        <f t="shared" si="52"/>
        <v>0</v>
      </c>
      <c r="H111" s="127">
        <f t="shared" si="52"/>
        <v>0</v>
      </c>
      <c r="I111" s="127">
        <f t="shared" si="52"/>
        <v>0</v>
      </c>
      <c r="J111" s="127">
        <f t="shared" si="52"/>
        <v>2713</v>
      </c>
      <c r="K111" s="127">
        <f t="shared" si="52"/>
        <v>0</v>
      </c>
      <c r="L111" s="127">
        <f t="shared" si="52"/>
        <v>0</v>
      </c>
      <c r="M111" s="127">
        <f t="shared" si="52"/>
        <v>0</v>
      </c>
      <c r="N111" s="127">
        <f t="shared" si="52"/>
        <v>0</v>
      </c>
      <c r="O111" s="127">
        <f t="shared" si="52"/>
        <v>0</v>
      </c>
      <c r="P111" s="128">
        <f t="shared" si="52"/>
        <v>11893</v>
      </c>
    </row>
    <row r="112" spans="1:16" ht="14.25">
      <c r="A112" s="134"/>
      <c r="B112" s="138" t="s">
        <v>95</v>
      </c>
      <c r="C112" s="156">
        <v>0</v>
      </c>
      <c r="D112" s="156">
        <v>25354</v>
      </c>
      <c r="E112" s="156">
        <v>6116</v>
      </c>
      <c r="F112" s="156">
        <v>19470</v>
      </c>
      <c r="G112" s="156">
        <v>0</v>
      </c>
      <c r="H112" s="156">
        <v>0</v>
      </c>
      <c r="I112" s="156">
        <v>0</v>
      </c>
      <c r="J112" s="156">
        <v>75347</v>
      </c>
      <c r="K112" s="156">
        <v>200</v>
      </c>
      <c r="L112" s="156">
        <v>0</v>
      </c>
      <c r="M112" s="156">
        <v>0</v>
      </c>
      <c r="N112" s="156">
        <v>8380</v>
      </c>
      <c r="O112" s="156">
        <v>0</v>
      </c>
      <c r="P112" s="128">
        <f>SUM(C112:O112)</f>
        <v>134867</v>
      </c>
    </row>
    <row r="113" spans="1:16" ht="14.25" customHeight="1">
      <c r="A113" s="134" t="s">
        <v>133</v>
      </c>
      <c r="B113" s="126" t="s">
        <v>93</v>
      </c>
      <c r="C113" s="135">
        <v>0</v>
      </c>
      <c r="D113" s="135">
        <v>35600</v>
      </c>
      <c r="E113" s="135">
        <v>8120</v>
      </c>
      <c r="F113" s="135">
        <v>0</v>
      </c>
      <c r="G113" s="135">
        <v>0</v>
      </c>
      <c r="H113" s="135">
        <v>0</v>
      </c>
      <c r="I113" s="135">
        <v>0</v>
      </c>
      <c r="J113" s="135">
        <v>129279</v>
      </c>
      <c r="K113" s="135">
        <v>2500</v>
      </c>
      <c r="L113" s="135">
        <v>0</v>
      </c>
      <c r="M113" s="135">
        <v>0</v>
      </c>
      <c r="N113" s="135">
        <v>1041</v>
      </c>
      <c r="O113" s="135">
        <v>0</v>
      </c>
      <c r="P113" s="137">
        <f>SUM(C113:O113)</f>
        <v>176540</v>
      </c>
    </row>
    <row r="114" spans="1:16" ht="14.25">
      <c r="A114" s="134"/>
      <c r="B114" s="138" t="s">
        <v>94</v>
      </c>
      <c r="C114" s="127">
        <f>(C115-C113)</f>
        <v>0</v>
      </c>
      <c r="D114" s="127">
        <f aca="true" t="shared" si="53" ref="D114:P114">(D115-D113)</f>
        <v>0</v>
      </c>
      <c r="E114" s="127">
        <f t="shared" si="53"/>
        <v>0</v>
      </c>
      <c r="F114" s="127">
        <f t="shared" si="53"/>
        <v>0</v>
      </c>
      <c r="G114" s="127">
        <f t="shared" si="53"/>
        <v>0</v>
      </c>
      <c r="H114" s="127">
        <f t="shared" si="53"/>
        <v>0</v>
      </c>
      <c r="I114" s="127">
        <f t="shared" si="53"/>
        <v>0</v>
      </c>
      <c r="J114" s="127">
        <f t="shared" si="53"/>
        <v>687</v>
      </c>
      <c r="K114" s="127">
        <f t="shared" si="53"/>
        <v>710</v>
      </c>
      <c r="L114" s="127">
        <f t="shared" si="53"/>
        <v>0</v>
      </c>
      <c r="M114" s="127">
        <f t="shared" si="53"/>
        <v>0</v>
      </c>
      <c r="N114" s="127">
        <f t="shared" si="53"/>
        <v>0</v>
      </c>
      <c r="O114" s="127">
        <f t="shared" si="53"/>
        <v>0</v>
      </c>
      <c r="P114" s="128">
        <f t="shared" si="53"/>
        <v>1397</v>
      </c>
    </row>
    <row r="115" spans="1:16" ht="14.25">
      <c r="A115" s="134"/>
      <c r="B115" s="138" t="s">
        <v>95</v>
      </c>
      <c r="C115" s="156">
        <v>0</v>
      </c>
      <c r="D115" s="156">
        <v>35600</v>
      </c>
      <c r="E115" s="156">
        <v>8120</v>
      </c>
      <c r="F115" s="156">
        <v>0</v>
      </c>
      <c r="G115" s="156">
        <v>0</v>
      </c>
      <c r="H115" s="156">
        <v>0</v>
      </c>
      <c r="I115" s="156">
        <v>0</v>
      </c>
      <c r="J115" s="156">
        <v>129966</v>
      </c>
      <c r="K115" s="156">
        <v>3210</v>
      </c>
      <c r="L115" s="156">
        <v>0</v>
      </c>
      <c r="M115" s="156">
        <v>0</v>
      </c>
      <c r="N115" s="156">
        <v>1041</v>
      </c>
      <c r="O115" s="156">
        <v>0</v>
      </c>
      <c r="P115" s="128">
        <f>SUM(C115:O115)</f>
        <v>177937</v>
      </c>
    </row>
    <row r="116" spans="1:16" ht="14.25" customHeight="1">
      <c r="A116" s="134" t="s">
        <v>134</v>
      </c>
      <c r="B116" s="126" t="s">
        <v>93</v>
      </c>
      <c r="C116" s="135">
        <v>0</v>
      </c>
      <c r="D116" s="135">
        <v>50500</v>
      </c>
      <c r="E116" s="135">
        <v>7710</v>
      </c>
      <c r="F116" s="135">
        <v>0</v>
      </c>
      <c r="G116" s="135">
        <v>0</v>
      </c>
      <c r="H116" s="135">
        <v>0</v>
      </c>
      <c r="I116" s="135">
        <v>0</v>
      </c>
      <c r="J116" s="135">
        <v>103117</v>
      </c>
      <c r="K116" s="135">
        <v>8791</v>
      </c>
      <c r="L116" s="135">
        <v>0</v>
      </c>
      <c r="M116" s="135">
        <v>0</v>
      </c>
      <c r="N116" s="135">
        <v>10665</v>
      </c>
      <c r="O116" s="135">
        <v>0</v>
      </c>
      <c r="P116" s="137">
        <f>SUM(C116:O116)</f>
        <v>180783</v>
      </c>
    </row>
    <row r="117" spans="1:16" ht="14.25">
      <c r="A117" s="134"/>
      <c r="B117" s="138" t="s">
        <v>94</v>
      </c>
      <c r="C117" s="127">
        <f>(C118-C116)</f>
        <v>0</v>
      </c>
      <c r="D117" s="127">
        <f aca="true" t="shared" si="54" ref="D117:P117">(D118-D116)</f>
        <v>6235</v>
      </c>
      <c r="E117" s="127">
        <f t="shared" si="54"/>
        <v>1958</v>
      </c>
      <c r="F117" s="127">
        <f t="shared" si="54"/>
        <v>0</v>
      </c>
      <c r="G117" s="127">
        <f t="shared" si="54"/>
        <v>0</v>
      </c>
      <c r="H117" s="127">
        <f t="shared" si="54"/>
        <v>0</v>
      </c>
      <c r="I117" s="127">
        <f t="shared" si="54"/>
        <v>0</v>
      </c>
      <c r="J117" s="127">
        <f t="shared" si="54"/>
        <v>1604</v>
      </c>
      <c r="K117" s="127">
        <f t="shared" si="54"/>
        <v>8032</v>
      </c>
      <c r="L117" s="127">
        <f t="shared" si="54"/>
        <v>0</v>
      </c>
      <c r="M117" s="127">
        <f t="shared" si="54"/>
        <v>0</v>
      </c>
      <c r="N117" s="127">
        <f t="shared" si="54"/>
        <v>0</v>
      </c>
      <c r="O117" s="127">
        <f t="shared" si="54"/>
        <v>0</v>
      </c>
      <c r="P117" s="128">
        <f t="shared" si="54"/>
        <v>17829</v>
      </c>
    </row>
    <row r="118" spans="1:16" ht="14.25">
      <c r="A118" s="134"/>
      <c r="B118" s="138" t="s">
        <v>95</v>
      </c>
      <c r="C118" s="156">
        <v>0</v>
      </c>
      <c r="D118" s="156">
        <v>56735</v>
      </c>
      <c r="E118" s="156">
        <v>9668</v>
      </c>
      <c r="F118" s="156">
        <v>0</v>
      </c>
      <c r="G118" s="156">
        <v>0</v>
      </c>
      <c r="H118" s="156">
        <v>0</v>
      </c>
      <c r="I118" s="156">
        <v>0</v>
      </c>
      <c r="J118" s="156">
        <v>104721</v>
      </c>
      <c r="K118" s="156">
        <v>16823</v>
      </c>
      <c r="L118" s="156">
        <v>0</v>
      </c>
      <c r="M118" s="156">
        <v>0</v>
      </c>
      <c r="N118" s="156">
        <v>10665</v>
      </c>
      <c r="O118" s="156">
        <v>0</v>
      </c>
      <c r="P118" s="128">
        <f>SUM(C118:O118)</f>
        <v>198612</v>
      </c>
    </row>
    <row r="119" spans="1:16" ht="14.25" customHeight="1">
      <c r="A119" s="157" t="s">
        <v>135</v>
      </c>
      <c r="B119" s="126" t="s">
        <v>93</v>
      </c>
      <c r="C119" s="135">
        <f>SUM(C104+C107+C110+C113+C116)</f>
        <v>0</v>
      </c>
      <c r="D119" s="135">
        <f aca="true" t="shared" si="55" ref="D119:P119">SUM(D104+D107+D110+D113+D116)</f>
        <v>287559</v>
      </c>
      <c r="E119" s="135">
        <f t="shared" si="55"/>
        <v>78711</v>
      </c>
      <c r="F119" s="135">
        <f t="shared" si="55"/>
        <v>21174</v>
      </c>
      <c r="G119" s="135">
        <f t="shared" si="55"/>
        <v>587</v>
      </c>
      <c r="H119" s="135">
        <f t="shared" si="55"/>
        <v>1</v>
      </c>
      <c r="I119" s="135">
        <f t="shared" si="55"/>
        <v>3</v>
      </c>
      <c r="J119" s="135">
        <f t="shared" si="55"/>
        <v>965974</v>
      </c>
      <c r="K119" s="135">
        <f t="shared" si="55"/>
        <v>24631</v>
      </c>
      <c r="L119" s="135">
        <f t="shared" si="55"/>
        <v>500</v>
      </c>
      <c r="M119" s="135">
        <f t="shared" si="55"/>
        <v>0</v>
      </c>
      <c r="N119" s="135">
        <f t="shared" si="55"/>
        <v>68802</v>
      </c>
      <c r="O119" s="135">
        <f t="shared" si="55"/>
        <v>12892</v>
      </c>
      <c r="P119" s="137">
        <f t="shared" si="55"/>
        <v>1460834</v>
      </c>
    </row>
    <row r="120" spans="1:16" ht="14.25">
      <c r="A120" s="157"/>
      <c r="B120" s="126" t="s">
        <v>94</v>
      </c>
      <c r="C120" s="129">
        <f>(C121-C119)</f>
        <v>0</v>
      </c>
      <c r="D120" s="129">
        <f aca="true" t="shared" si="56" ref="D120:P120">(D121-D119)</f>
        <v>44209</v>
      </c>
      <c r="E120" s="129">
        <f t="shared" si="56"/>
        <v>2698</v>
      </c>
      <c r="F120" s="129">
        <f t="shared" si="56"/>
        <v>9186</v>
      </c>
      <c r="G120" s="129">
        <f t="shared" si="56"/>
        <v>0</v>
      </c>
      <c r="H120" s="129">
        <f t="shared" si="56"/>
        <v>0</v>
      </c>
      <c r="I120" s="129">
        <f t="shared" si="56"/>
        <v>52</v>
      </c>
      <c r="J120" s="129">
        <f t="shared" si="56"/>
        <v>8270</v>
      </c>
      <c r="K120" s="129">
        <f t="shared" si="56"/>
        <v>11425</v>
      </c>
      <c r="L120" s="129">
        <f t="shared" si="56"/>
        <v>28</v>
      </c>
      <c r="M120" s="129">
        <f t="shared" si="56"/>
        <v>0</v>
      </c>
      <c r="N120" s="129">
        <f t="shared" si="56"/>
        <v>0</v>
      </c>
      <c r="O120" s="129">
        <f t="shared" si="56"/>
        <v>0</v>
      </c>
      <c r="P120" s="130">
        <f t="shared" si="56"/>
        <v>75868</v>
      </c>
    </row>
    <row r="121" spans="1:16" ht="14.25">
      <c r="A121" s="157"/>
      <c r="B121" s="131" t="s">
        <v>95</v>
      </c>
      <c r="C121" s="132">
        <f>SUM(C106+C109+C112+C115+C118)</f>
        <v>0</v>
      </c>
      <c r="D121" s="132">
        <f aca="true" t="shared" si="57" ref="D121:P121">SUM(D106+D109+D112+D115+D118)</f>
        <v>331768</v>
      </c>
      <c r="E121" s="132">
        <f t="shared" si="57"/>
        <v>81409</v>
      </c>
      <c r="F121" s="132">
        <f t="shared" si="57"/>
        <v>30360</v>
      </c>
      <c r="G121" s="132">
        <f t="shared" si="57"/>
        <v>587</v>
      </c>
      <c r="H121" s="132">
        <f t="shared" si="57"/>
        <v>1</v>
      </c>
      <c r="I121" s="132">
        <f t="shared" si="57"/>
        <v>55</v>
      </c>
      <c r="J121" s="132">
        <f t="shared" si="57"/>
        <v>974244</v>
      </c>
      <c r="K121" s="132">
        <f t="shared" si="57"/>
        <v>36056</v>
      </c>
      <c r="L121" s="132">
        <f t="shared" si="57"/>
        <v>528</v>
      </c>
      <c r="M121" s="132">
        <f t="shared" si="57"/>
        <v>0</v>
      </c>
      <c r="N121" s="132">
        <f t="shared" si="57"/>
        <v>68802</v>
      </c>
      <c r="O121" s="132">
        <f t="shared" si="57"/>
        <v>12892</v>
      </c>
      <c r="P121" s="133">
        <f t="shared" si="57"/>
        <v>1536702</v>
      </c>
    </row>
    <row r="122" spans="1:16" ht="14.25" customHeight="1">
      <c r="A122" s="158" t="s">
        <v>136</v>
      </c>
      <c r="B122" s="120" t="s">
        <v>93</v>
      </c>
      <c r="C122" s="159">
        <v>0</v>
      </c>
      <c r="D122" s="159">
        <v>426352</v>
      </c>
      <c r="E122" s="159">
        <v>76562</v>
      </c>
      <c r="F122" s="159">
        <v>0</v>
      </c>
      <c r="G122" s="159">
        <v>0</v>
      </c>
      <c r="H122" s="159">
        <v>0</v>
      </c>
      <c r="I122" s="159">
        <v>0</v>
      </c>
      <c r="J122" s="159">
        <v>5507</v>
      </c>
      <c r="K122" s="159">
        <v>0</v>
      </c>
      <c r="L122" s="159">
        <v>0</v>
      </c>
      <c r="M122" s="159">
        <v>0</v>
      </c>
      <c r="N122" s="159">
        <v>21232</v>
      </c>
      <c r="O122" s="159">
        <v>0</v>
      </c>
      <c r="P122" s="124">
        <f aca="true" t="shared" si="58" ref="P122:P127">SUM(C122:O122)</f>
        <v>529653</v>
      </c>
    </row>
    <row r="123" spans="1:16" ht="11.25" customHeight="1">
      <c r="A123" s="158"/>
      <c r="B123" s="113" t="s">
        <v>94</v>
      </c>
      <c r="C123" s="114">
        <f>(C124-C122)</f>
        <v>0</v>
      </c>
      <c r="D123" s="114">
        <f aca="true" t="shared" si="59" ref="D123:O123">(D124-D122)</f>
        <v>5790</v>
      </c>
      <c r="E123" s="114">
        <f t="shared" si="59"/>
        <v>7094</v>
      </c>
      <c r="F123" s="114">
        <f t="shared" si="59"/>
        <v>0</v>
      </c>
      <c r="G123" s="114">
        <f t="shared" si="59"/>
        <v>0</v>
      </c>
      <c r="H123" s="114">
        <f t="shared" si="59"/>
        <v>2</v>
      </c>
      <c r="I123" s="114">
        <f t="shared" si="59"/>
        <v>50</v>
      </c>
      <c r="J123" s="114">
        <f t="shared" si="59"/>
        <v>1426</v>
      </c>
      <c r="K123" s="114">
        <f t="shared" si="59"/>
        <v>0</v>
      </c>
      <c r="L123" s="114">
        <f t="shared" si="59"/>
        <v>0</v>
      </c>
      <c r="M123" s="114">
        <f t="shared" si="59"/>
        <v>0</v>
      </c>
      <c r="N123" s="114">
        <f t="shared" si="59"/>
        <v>0</v>
      </c>
      <c r="O123" s="114">
        <f t="shared" si="59"/>
        <v>0</v>
      </c>
      <c r="P123" s="114">
        <f t="shared" si="58"/>
        <v>14362</v>
      </c>
    </row>
    <row r="124" spans="1:16" ht="14.25">
      <c r="A124" s="158"/>
      <c r="B124" s="116" t="s">
        <v>95</v>
      </c>
      <c r="C124" s="160">
        <v>0</v>
      </c>
      <c r="D124" s="160">
        <v>432142</v>
      </c>
      <c r="E124" s="160">
        <v>83656</v>
      </c>
      <c r="F124" s="160">
        <v>0</v>
      </c>
      <c r="G124" s="160">
        <v>0</v>
      </c>
      <c r="H124" s="160">
        <v>2</v>
      </c>
      <c r="I124" s="160">
        <v>50</v>
      </c>
      <c r="J124" s="160">
        <v>6933</v>
      </c>
      <c r="K124" s="160">
        <v>0</v>
      </c>
      <c r="L124" s="160">
        <v>0</v>
      </c>
      <c r="M124" s="160">
        <v>0</v>
      </c>
      <c r="N124" s="160">
        <v>21232</v>
      </c>
      <c r="O124" s="160">
        <v>0</v>
      </c>
      <c r="P124" s="160">
        <f t="shared" si="58"/>
        <v>544015</v>
      </c>
    </row>
    <row r="125" spans="1:16" ht="14.25" customHeight="1">
      <c r="A125" s="161" t="s">
        <v>137</v>
      </c>
      <c r="B125" s="113" t="s">
        <v>93</v>
      </c>
      <c r="C125" s="162">
        <v>0</v>
      </c>
      <c r="D125" s="162">
        <v>60404</v>
      </c>
      <c r="E125" s="162">
        <v>0</v>
      </c>
      <c r="F125" s="162">
        <v>0</v>
      </c>
      <c r="G125" s="162">
        <v>0</v>
      </c>
      <c r="H125" s="162">
        <v>0</v>
      </c>
      <c r="I125" s="162">
        <v>0</v>
      </c>
      <c r="J125" s="162">
        <v>77500</v>
      </c>
      <c r="K125" s="162">
        <v>0</v>
      </c>
      <c r="L125" s="162">
        <v>0</v>
      </c>
      <c r="M125" s="162">
        <v>0</v>
      </c>
      <c r="N125" s="162">
        <v>0</v>
      </c>
      <c r="O125" s="162">
        <v>0</v>
      </c>
      <c r="P125" s="115">
        <f t="shared" si="58"/>
        <v>137904</v>
      </c>
    </row>
    <row r="126" spans="1:16" ht="14.25">
      <c r="A126" s="161"/>
      <c r="B126" s="113" t="s">
        <v>94</v>
      </c>
      <c r="C126" s="114">
        <f>(C127-C125)</f>
        <v>0</v>
      </c>
      <c r="D126" s="114">
        <f aca="true" t="shared" si="60" ref="D126:O126">(D127-D125)</f>
        <v>2670</v>
      </c>
      <c r="E126" s="114">
        <f t="shared" si="60"/>
        <v>0</v>
      </c>
      <c r="F126" s="114">
        <f t="shared" si="60"/>
        <v>0</v>
      </c>
      <c r="G126" s="114">
        <f t="shared" si="60"/>
        <v>0</v>
      </c>
      <c r="H126" s="114">
        <f t="shared" si="60"/>
        <v>0</v>
      </c>
      <c r="I126" s="114">
        <f t="shared" si="60"/>
        <v>1090</v>
      </c>
      <c r="J126" s="114">
        <f t="shared" si="60"/>
        <v>-3030</v>
      </c>
      <c r="K126" s="114">
        <f t="shared" si="60"/>
        <v>0</v>
      </c>
      <c r="L126" s="114">
        <f t="shared" si="60"/>
        <v>0</v>
      </c>
      <c r="M126" s="114">
        <f t="shared" si="60"/>
        <v>0</v>
      </c>
      <c r="N126" s="114">
        <f t="shared" si="60"/>
        <v>0</v>
      </c>
      <c r="O126" s="114">
        <f t="shared" si="60"/>
        <v>0</v>
      </c>
      <c r="P126" s="115">
        <f t="shared" si="58"/>
        <v>730</v>
      </c>
    </row>
    <row r="127" spans="1:16" ht="14.25">
      <c r="A127" s="161"/>
      <c r="B127" s="116" t="s">
        <v>95</v>
      </c>
      <c r="C127" s="160">
        <v>0</v>
      </c>
      <c r="D127" s="160">
        <v>63074</v>
      </c>
      <c r="E127" s="160">
        <v>0</v>
      </c>
      <c r="F127" s="160">
        <v>0</v>
      </c>
      <c r="G127" s="160">
        <v>0</v>
      </c>
      <c r="H127" s="160">
        <v>0</v>
      </c>
      <c r="I127" s="160">
        <v>1090</v>
      </c>
      <c r="J127" s="160">
        <v>74470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15">
        <f t="shared" si="58"/>
        <v>138634</v>
      </c>
    </row>
    <row r="128" spans="1:16" ht="13.5" customHeight="1">
      <c r="A128" s="134" t="s">
        <v>138</v>
      </c>
      <c r="B128" s="126" t="s">
        <v>93</v>
      </c>
      <c r="C128" s="135">
        <f>SUM(C122+C125)</f>
        <v>0</v>
      </c>
      <c r="D128" s="135">
        <f aca="true" t="shared" si="61" ref="D128:P128">SUM(D122+D125)</f>
        <v>486756</v>
      </c>
      <c r="E128" s="135">
        <f t="shared" si="61"/>
        <v>76562</v>
      </c>
      <c r="F128" s="135">
        <f t="shared" si="61"/>
        <v>0</v>
      </c>
      <c r="G128" s="135">
        <f t="shared" si="61"/>
        <v>0</v>
      </c>
      <c r="H128" s="135">
        <f t="shared" si="61"/>
        <v>0</v>
      </c>
      <c r="I128" s="135">
        <f t="shared" si="61"/>
        <v>0</v>
      </c>
      <c r="J128" s="135">
        <f t="shared" si="61"/>
        <v>83007</v>
      </c>
      <c r="K128" s="135">
        <f t="shared" si="61"/>
        <v>0</v>
      </c>
      <c r="L128" s="135">
        <f t="shared" si="61"/>
        <v>0</v>
      </c>
      <c r="M128" s="135">
        <f t="shared" si="61"/>
        <v>0</v>
      </c>
      <c r="N128" s="135">
        <f t="shared" si="61"/>
        <v>21232</v>
      </c>
      <c r="O128" s="135">
        <f t="shared" si="61"/>
        <v>0</v>
      </c>
      <c r="P128" s="137">
        <f t="shared" si="61"/>
        <v>667557</v>
      </c>
    </row>
    <row r="129" spans="1:16" ht="14.25">
      <c r="A129" s="134"/>
      <c r="B129" s="126" t="s">
        <v>94</v>
      </c>
      <c r="C129" s="129">
        <f>(C130-C128)</f>
        <v>0</v>
      </c>
      <c r="D129" s="129">
        <f aca="true" t="shared" si="62" ref="D129:P129">(D130-D128)</f>
        <v>8460</v>
      </c>
      <c r="E129" s="129">
        <f t="shared" si="62"/>
        <v>7094</v>
      </c>
      <c r="F129" s="129">
        <f t="shared" si="62"/>
        <v>0</v>
      </c>
      <c r="G129" s="129">
        <f t="shared" si="62"/>
        <v>0</v>
      </c>
      <c r="H129" s="129">
        <f t="shared" si="62"/>
        <v>2</v>
      </c>
      <c r="I129" s="129">
        <f t="shared" si="62"/>
        <v>1140</v>
      </c>
      <c r="J129" s="129">
        <f t="shared" si="62"/>
        <v>-1604</v>
      </c>
      <c r="K129" s="129">
        <f t="shared" si="62"/>
        <v>0</v>
      </c>
      <c r="L129" s="129">
        <f t="shared" si="62"/>
        <v>0</v>
      </c>
      <c r="M129" s="129">
        <f t="shared" si="62"/>
        <v>0</v>
      </c>
      <c r="N129" s="129">
        <f t="shared" si="62"/>
        <v>0</v>
      </c>
      <c r="O129" s="129">
        <f t="shared" si="62"/>
        <v>0</v>
      </c>
      <c r="P129" s="130">
        <f t="shared" si="62"/>
        <v>15092</v>
      </c>
    </row>
    <row r="130" spans="1:16" ht="11.25" customHeight="1">
      <c r="A130" s="134"/>
      <c r="B130" s="131" t="s">
        <v>95</v>
      </c>
      <c r="C130" s="135">
        <f>SUM(C124+C127)</f>
        <v>0</v>
      </c>
      <c r="D130" s="135">
        <f aca="true" t="shared" si="63" ref="D130:P130">SUM(D124+D127)</f>
        <v>495216</v>
      </c>
      <c r="E130" s="135">
        <f t="shared" si="63"/>
        <v>83656</v>
      </c>
      <c r="F130" s="135">
        <f t="shared" si="63"/>
        <v>0</v>
      </c>
      <c r="G130" s="135">
        <f t="shared" si="63"/>
        <v>0</v>
      </c>
      <c r="H130" s="135">
        <f t="shared" si="63"/>
        <v>2</v>
      </c>
      <c r="I130" s="135">
        <f t="shared" si="63"/>
        <v>1140</v>
      </c>
      <c r="J130" s="135">
        <f t="shared" si="63"/>
        <v>81403</v>
      </c>
      <c r="K130" s="135">
        <f t="shared" si="63"/>
        <v>0</v>
      </c>
      <c r="L130" s="135">
        <f t="shared" si="63"/>
        <v>0</v>
      </c>
      <c r="M130" s="135">
        <f t="shared" si="63"/>
        <v>0</v>
      </c>
      <c r="N130" s="135">
        <f t="shared" si="63"/>
        <v>21232</v>
      </c>
      <c r="O130" s="135">
        <f t="shared" si="63"/>
        <v>0</v>
      </c>
      <c r="P130" s="137">
        <f t="shared" si="63"/>
        <v>682649</v>
      </c>
    </row>
    <row r="131" spans="1:16" ht="14.25" customHeight="1">
      <c r="A131" s="134" t="s">
        <v>139</v>
      </c>
      <c r="B131" s="152" t="s">
        <v>93</v>
      </c>
      <c r="C131" s="137">
        <v>1100</v>
      </c>
      <c r="D131" s="135">
        <v>20900</v>
      </c>
      <c r="E131" s="135">
        <v>3000</v>
      </c>
      <c r="F131" s="135">
        <v>2160</v>
      </c>
      <c r="G131" s="135">
        <v>0</v>
      </c>
      <c r="H131" s="135">
        <v>0</v>
      </c>
      <c r="I131" s="135">
        <v>0</v>
      </c>
      <c r="J131" s="135">
        <v>538516</v>
      </c>
      <c r="K131" s="135">
        <v>0</v>
      </c>
      <c r="L131" s="135">
        <v>0</v>
      </c>
      <c r="M131" s="135">
        <v>0</v>
      </c>
      <c r="N131" s="135">
        <v>273</v>
      </c>
      <c r="O131" s="135">
        <v>0</v>
      </c>
      <c r="P131" s="137">
        <f>SUM(C131:O131)</f>
        <v>565949</v>
      </c>
    </row>
    <row r="132" spans="1:16" ht="14.25">
      <c r="A132" s="134"/>
      <c r="B132" s="163" t="s">
        <v>94</v>
      </c>
      <c r="C132" s="128">
        <f>(C133-C131)</f>
        <v>0</v>
      </c>
      <c r="D132" s="127">
        <f aca="true" t="shared" si="64" ref="D132:O132">(D133-D131)</f>
        <v>0</v>
      </c>
      <c r="E132" s="127">
        <f t="shared" si="64"/>
        <v>0</v>
      </c>
      <c r="F132" s="127">
        <f t="shared" si="64"/>
        <v>0</v>
      </c>
      <c r="G132" s="127">
        <f t="shared" si="64"/>
        <v>0</v>
      </c>
      <c r="H132" s="127">
        <f t="shared" si="64"/>
        <v>0</v>
      </c>
      <c r="I132" s="127">
        <f t="shared" si="64"/>
        <v>0</v>
      </c>
      <c r="J132" s="127">
        <f t="shared" si="64"/>
        <v>19102</v>
      </c>
      <c r="K132" s="127">
        <f t="shared" si="64"/>
        <v>0</v>
      </c>
      <c r="L132" s="127">
        <f t="shared" si="64"/>
        <v>0</v>
      </c>
      <c r="M132" s="127">
        <f t="shared" si="64"/>
        <v>0</v>
      </c>
      <c r="N132" s="127">
        <f t="shared" si="64"/>
        <v>0</v>
      </c>
      <c r="O132" s="127">
        <f t="shared" si="64"/>
        <v>0</v>
      </c>
      <c r="P132" s="128">
        <f>SUM(C132:O132)</f>
        <v>19102</v>
      </c>
    </row>
    <row r="133" spans="1:16" ht="11.25" customHeight="1">
      <c r="A133" s="134"/>
      <c r="B133" s="163" t="s">
        <v>95</v>
      </c>
      <c r="C133" s="128">
        <v>1100</v>
      </c>
      <c r="D133" s="127">
        <v>20900</v>
      </c>
      <c r="E133" s="127">
        <v>3000</v>
      </c>
      <c r="F133" s="127">
        <v>2160</v>
      </c>
      <c r="G133" s="127">
        <v>0</v>
      </c>
      <c r="H133" s="127">
        <v>0</v>
      </c>
      <c r="I133" s="127">
        <v>0</v>
      </c>
      <c r="J133" s="127">
        <v>557618</v>
      </c>
      <c r="K133" s="127">
        <v>0</v>
      </c>
      <c r="L133" s="127">
        <v>0</v>
      </c>
      <c r="M133" s="127">
        <v>0</v>
      </c>
      <c r="N133" s="127">
        <v>273</v>
      </c>
      <c r="O133" s="127">
        <v>0</v>
      </c>
      <c r="P133" s="127">
        <f>SUM(C133:O133)</f>
        <v>585051</v>
      </c>
    </row>
    <row r="134" spans="1:16" ht="11.25" customHeight="1">
      <c r="A134" s="125" t="s">
        <v>140</v>
      </c>
      <c r="B134" s="163" t="s">
        <v>93</v>
      </c>
      <c r="C134" s="128">
        <f>SUM(C128,C131)</f>
        <v>1100</v>
      </c>
      <c r="D134" s="128">
        <f aca="true" t="shared" si="65" ref="D134:P135">SUM(D128,D131)</f>
        <v>507656</v>
      </c>
      <c r="E134" s="128">
        <f t="shared" si="65"/>
        <v>79562</v>
      </c>
      <c r="F134" s="128">
        <f t="shared" si="65"/>
        <v>2160</v>
      </c>
      <c r="G134" s="128">
        <f t="shared" si="65"/>
        <v>0</v>
      </c>
      <c r="H134" s="128">
        <f t="shared" si="65"/>
        <v>0</v>
      </c>
      <c r="I134" s="128">
        <f t="shared" si="65"/>
        <v>0</v>
      </c>
      <c r="J134" s="128">
        <f t="shared" si="65"/>
        <v>621523</v>
      </c>
      <c r="K134" s="128">
        <f t="shared" si="65"/>
        <v>0</v>
      </c>
      <c r="L134" s="128">
        <f t="shared" si="65"/>
        <v>0</v>
      </c>
      <c r="M134" s="128">
        <f t="shared" si="65"/>
        <v>0</v>
      </c>
      <c r="N134" s="128">
        <f t="shared" si="65"/>
        <v>21505</v>
      </c>
      <c r="O134" s="128">
        <f t="shared" si="65"/>
        <v>0</v>
      </c>
      <c r="P134" s="128">
        <f t="shared" si="65"/>
        <v>1233506</v>
      </c>
    </row>
    <row r="135" spans="1:16" ht="11.25" customHeight="1">
      <c r="A135" s="125"/>
      <c r="B135" s="163" t="s">
        <v>94</v>
      </c>
      <c r="C135" s="128">
        <f>SUM(C129,C132)</f>
        <v>0</v>
      </c>
      <c r="D135" s="128">
        <f t="shared" si="65"/>
        <v>8460</v>
      </c>
      <c r="E135" s="128">
        <f t="shared" si="65"/>
        <v>7094</v>
      </c>
      <c r="F135" s="128">
        <f t="shared" si="65"/>
        <v>0</v>
      </c>
      <c r="G135" s="128">
        <f t="shared" si="65"/>
        <v>0</v>
      </c>
      <c r="H135" s="128">
        <f t="shared" si="65"/>
        <v>2</v>
      </c>
      <c r="I135" s="128">
        <f t="shared" si="65"/>
        <v>1140</v>
      </c>
      <c r="J135" s="128">
        <f t="shared" si="65"/>
        <v>17498</v>
      </c>
      <c r="K135" s="128">
        <f t="shared" si="65"/>
        <v>0</v>
      </c>
      <c r="L135" s="128">
        <f t="shared" si="65"/>
        <v>0</v>
      </c>
      <c r="M135" s="128">
        <f t="shared" si="65"/>
        <v>0</v>
      </c>
      <c r="N135" s="128">
        <f t="shared" si="65"/>
        <v>0</v>
      </c>
      <c r="O135" s="128">
        <f t="shared" si="65"/>
        <v>0</v>
      </c>
      <c r="P135" s="128">
        <f t="shared" si="65"/>
        <v>34194</v>
      </c>
    </row>
    <row r="136" spans="1:16" ht="11.25" customHeight="1">
      <c r="A136" s="125"/>
      <c r="B136" s="163" t="s">
        <v>95</v>
      </c>
      <c r="C136" s="128">
        <f>SUM(C133,C130)</f>
        <v>1100</v>
      </c>
      <c r="D136" s="128">
        <f aca="true" t="shared" si="66" ref="D136:P136">SUM(D133,D130)</f>
        <v>516116</v>
      </c>
      <c r="E136" s="128">
        <f t="shared" si="66"/>
        <v>86656</v>
      </c>
      <c r="F136" s="128">
        <f t="shared" si="66"/>
        <v>2160</v>
      </c>
      <c r="G136" s="128">
        <f t="shared" si="66"/>
        <v>0</v>
      </c>
      <c r="H136" s="128">
        <f t="shared" si="66"/>
        <v>2</v>
      </c>
      <c r="I136" s="128">
        <f t="shared" si="66"/>
        <v>1140</v>
      </c>
      <c r="J136" s="128">
        <f t="shared" si="66"/>
        <v>639021</v>
      </c>
      <c r="K136" s="128">
        <f t="shared" si="66"/>
        <v>0</v>
      </c>
      <c r="L136" s="128">
        <f t="shared" si="66"/>
        <v>0</v>
      </c>
      <c r="M136" s="128">
        <f t="shared" si="66"/>
        <v>0</v>
      </c>
      <c r="N136" s="128">
        <f t="shared" si="66"/>
        <v>21505</v>
      </c>
      <c r="O136" s="128">
        <f t="shared" si="66"/>
        <v>0</v>
      </c>
      <c r="P136" s="128">
        <f t="shared" si="66"/>
        <v>1267700</v>
      </c>
    </row>
    <row r="137" spans="1:16" ht="14.25" customHeight="1">
      <c r="A137" s="134" t="s">
        <v>141</v>
      </c>
      <c r="B137" s="152" t="s">
        <v>93</v>
      </c>
      <c r="C137" s="135">
        <f>SUM(C14,C89,C119,C134)</f>
        <v>1100</v>
      </c>
      <c r="D137" s="135">
        <f aca="true" t="shared" si="67" ref="D137:P139">SUM(D14,D89,D119,D134)</f>
        <v>1973835</v>
      </c>
      <c r="E137" s="135">
        <f t="shared" si="67"/>
        <v>255047</v>
      </c>
      <c r="F137" s="135">
        <f t="shared" si="67"/>
        <v>549465</v>
      </c>
      <c r="G137" s="135">
        <f t="shared" si="67"/>
        <v>33314</v>
      </c>
      <c r="H137" s="135">
        <f t="shared" si="67"/>
        <v>8765</v>
      </c>
      <c r="I137" s="135">
        <f t="shared" si="67"/>
        <v>4934</v>
      </c>
      <c r="J137" s="135">
        <f t="shared" si="67"/>
        <v>12089549</v>
      </c>
      <c r="K137" s="135">
        <f t="shared" si="67"/>
        <v>64615</v>
      </c>
      <c r="L137" s="135">
        <f t="shared" si="67"/>
        <v>87359</v>
      </c>
      <c r="M137" s="135">
        <f t="shared" si="67"/>
        <v>0</v>
      </c>
      <c r="N137" s="135">
        <f t="shared" si="67"/>
        <v>710745</v>
      </c>
      <c r="O137" s="135">
        <f t="shared" si="67"/>
        <v>15856</v>
      </c>
      <c r="P137" s="135">
        <f t="shared" si="67"/>
        <v>15794584</v>
      </c>
    </row>
    <row r="138" spans="1:16" ht="14.25">
      <c r="A138" s="134"/>
      <c r="B138" s="152" t="s">
        <v>94</v>
      </c>
      <c r="C138" s="129">
        <f>SUM(C15,C90,C120,C135)</f>
        <v>0</v>
      </c>
      <c r="D138" s="129">
        <f t="shared" si="67"/>
        <v>87534</v>
      </c>
      <c r="E138" s="129">
        <f t="shared" si="67"/>
        <v>31275</v>
      </c>
      <c r="F138" s="129">
        <f t="shared" si="67"/>
        <v>27862</v>
      </c>
      <c r="G138" s="129">
        <f t="shared" si="67"/>
        <v>21004</v>
      </c>
      <c r="H138" s="129">
        <f t="shared" si="67"/>
        <v>3195</v>
      </c>
      <c r="I138" s="129">
        <f t="shared" si="67"/>
        <v>1375</v>
      </c>
      <c r="J138" s="129">
        <f t="shared" si="67"/>
        <v>156710</v>
      </c>
      <c r="K138" s="129">
        <f t="shared" si="67"/>
        <v>21227</v>
      </c>
      <c r="L138" s="129">
        <f t="shared" si="67"/>
        <v>299</v>
      </c>
      <c r="M138" s="129">
        <f t="shared" si="67"/>
        <v>0</v>
      </c>
      <c r="N138" s="129">
        <f t="shared" si="67"/>
        <v>0</v>
      </c>
      <c r="O138" s="129">
        <f t="shared" si="67"/>
        <v>0</v>
      </c>
      <c r="P138" s="129">
        <f t="shared" si="67"/>
        <v>350481</v>
      </c>
    </row>
    <row r="139" spans="1:16" ht="14.25">
      <c r="A139" s="134"/>
      <c r="B139" s="138" t="s">
        <v>95</v>
      </c>
      <c r="C139" s="135">
        <f>SUM(C16,C91,C121,C136)</f>
        <v>1100</v>
      </c>
      <c r="D139" s="135">
        <f t="shared" si="67"/>
        <v>2061369</v>
      </c>
      <c r="E139" s="135">
        <f t="shared" si="67"/>
        <v>286322</v>
      </c>
      <c r="F139" s="135">
        <f t="shared" si="67"/>
        <v>577327</v>
      </c>
      <c r="G139" s="135">
        <f t="shared" si="67"/>
        <v>54318</v>
      </c>
      <c r="H139" s="135">
        <f t="shared" si="67"/>
        <v>11960</v>
      </c>
      <c r="I139" s="164">
        <f t="shared" si="67"/>
        <v>6309</v>
      </c>
      <c r="J139" s="135">
        <f t="shared" si="67"/>
        <v>12246259</v>
      </c>
      <c r="K139" s="135">
        <f t="shared" si="67"/>
        <v>85842</v>
      </c>
      <c r="L139" s="137">
        <f t="shared" si="67"/>
        <v>87658</v>
      </c>
      <c r="M139" s="135">
        <f t="shared" si="67"/>
        <v>0</v>
      </c>
      <c r="N139" s="135">
        <f t="shared" si="67"/>
        <v>710745</v>
      </c>
      <c r="O139" s="135">
        <f t="shared" si="67"/>
        <v>15856</v>
      </c>
      <c r="P139" s="135">
        <f t="shared" si="67"/>
        <v>16145065</v>
      </c>
    </row>
  </sheetData>
  <sheetProtection selectLockedCells="1" selectUnlockedCells="1"/>
  <mergeCells count="46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</mergeCells>
  <printOptions gridLines="1" horizontalCentered="1" verticalCentered="1"/>
  <pageMargins left="0.4722222222222222" right="0.4722222222222222" top="0.8659722222222221" bottom="0.5902777777777778" header="0.5118055555555555" footer="0.5118055555555555"/>
  <pageSetup horizontalDpi="300" verticalDpi="300" orientation="landscape" paperSize="9" scale="74"/>
  <headerFooter alignWithMargins="0">
    <oddHeader>&amp;L/2008.(     .)rendelet
2/a. számú melléklete&amp;CKecskemét MJV Önkormányzata intézményeinek 2008. évi bevételi előirányzatainak módosítása költségvetési szervenként, jogcím-csoportonkénti részletezettségben &amp;R2/a.sz táblázat
adatok:ezer Ft-ban</oddHeader>
  </headerFooter>
  <rowBreaks count="3" manualBreakCount="3">
    <brk id="40" max="255" man="1"/>
    <brk id="82" max="255" man="1"/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139"/>
  <sheetViews>
    <sheetView zoomScale="120" zoomScaleNormal="120" zoomScaleSheetLayoutView="100" workbookViewId="0" topLeftCell="A1">
      <pane xSplit="1" ySplit="1" topLeftCell="I131" activePane="bottomRight" state="frozen"/>
      <selection pane="topLeft" activeCell="A1" sqref="A1"/>
      <selection pane="topRight" activeCell="I1" sqref="I1"/>
      <selection pane="bottomLeft" activeCell="A131" sqref="A131"/>
      <selection pane="bottomRight" activeCell="O139" sqref="O139"/>
    </sheetView>
  </sheetViews>
  <sheetFormatPr defaultColWidth="9.140625" defaultRowHeight="15"/>
  <cols>
    <col min="1" max="1" width="23.7109375" style="109" customWidth="1"/>
    <col min="2" max="2" width="15.8515625" style="109" customWidth="1"/>
    <col min="3" max="9" width="11.57421875" style="109" customWidth="1"/>
    <col min="10" max="10" width="12.28125" style="109" customWidth="1"/>
    <col min="11" max="13" width="11.57421875" style="109" customWidth="1"/>
    <col min="14" max="14" width="10.28125" style="109" customWidth="1"/>
    <col min="15" max="15" width="10.57421875" style="109" customWidth="1"/>
    <col min="16" max="16384" width="9.140625" style="109" customWidth="1"/>
  </cols>
  <sheetData>
    <row r="1" spans="1:15" ht="57" customHeight="1">
      <c r="A1" s="165" t="s">
        <v>76</v>
      </c>
      <c r="B1" s="111" t="s">
        <v>77</v>
      </c>
      <c r="C1" s="165" t="s">
        <v>142</v>
      </c>
      <c r="D1" s="165" t="s">
        <v>143</v>
      </c>
      <c r="E1" s="165" t="s">
        <v>144</v>
      </c>
      <c r="F1" s="165" t="s">
        <v>19</v>
      </c>
      <c r="G1" s="165" t="s">
        <v>145</v>
      </c>
      <c r="H1" s="165" t="s">
        <v>146</v>
      </c>
      <c r="I1" s="165" t="s">
        <v>147</v>
      </c>
      <c r="J1" s="165" t="s">
        <v>148</v>
      </c>
      <c r="K1" s="165" t="s">
        <v>149</v>
      </c>
      <c r="L1" s="165" t="s">
        <v>23</v>
      </c>
      <c r="M1" s="165" t="s">
        <v>42</v>
      </c>
      <c r="N1" s="165" t="s">
        <v>150</v>
      </c>
      <c r="O1" s="165" t="s">
        <v>151</v>
      </c>
    </row>
    <row r="2" spans="1:17" ht="14.25" customHeight="1">
      <c r="A2" s="119" t="s">
        <v>92</v>
      </c>
      <c r="B2" s="120" t="s">
        <v>93</v>
      </c>
      <c r="C2" s="166">
        <v>223601</v>
      </c>
      <c r="D2" s="166">
        <v>73231</v>
      </c>
      <c r="E2" s="166">
        <v>234790</v>
      </c>
      <c r="F2" s="166">
        <v>462</v>
      </c>
      <c r="G2" s="166">
        <v>2809</v>
      </c>
      <c r="H2" s="166">
        <v>0</v>
      </c>
      <c r="I2" s="166">
        <v>0</v>
      </c>
      <c r="J2" s="166">
        <v>0</v>
      </c>
      <c r="K2" s="166">
        <v>0</v>
      </c>
      <c r="L2" s="166">
        <v>0</v>
      </c>
      <c r="M2" s="166">
        <v>21427</v>
      </c>
      <c r="N2" s="166"/>
      <c r="O2" s="166">
        <f aca="true" t="shared" si="0" ref="O2:O10">SUM(C2:N2)</f>
        <v>556320</v>
      </c>
      <c r="P2" s="149"/>
      <c r="Q2" s="149"/>
    </row>
    <row r="3" spans="1:17" ht="14.25">
      <c r="A3" s="119"/>
      <c r="B3" s="113" t="s">
        <v>94</v>
      </c>
      <c r="C3" s="167">
        <f>(C4-C2)</f>
        <v>3592</v>
      </c>
      <c r="D3" s="167">
        <f aca="true" t="shared" si="1" ref="D3:N3">(D4-D2)</f>
        <v>-4807</v>
      </c>
      <c r="E3" s="167">
        <f t="shared" si="1"/>
        <v>-1838</v>
      </c>
      <c r="F3" s="167">
        <f t="shared" si="1"/>
        <v>-19</v>
      </c>
      <c r="G3" s="167">
        <f t="shared" si="1"/>
        <v>0</v>
      </c>
      <c r="H3" s="167">
        <f t="shared" si="1"/>
        <v>0</v>
      </c>
      <c r="I3" s="167">
        <f t="shared" si="1"/>
        <v>0</v>
      </c>
      <c r="J3" s="167">
        <f t="shared" si="1"/>
        <v>0</v>
      </c>
      <c r="K3" s="167">
        <f t="shared" si="1"/>
        <v>0</v>
      </c>
      <c r="L3" s="167">
        <f t="shared" si="1"/>
        <v>0</v>
      </c>
      <c r="M3" s="167">
        <f t="shared" si="1"/>
        <v>18740</v>
      </c>
      <c r="N3" s="167">
        <f t="shared" si="1"/>
        <v>4279</v>
      </c>
      <c r="O3" s="167">
        <f t="shared" si="0"/>
        <v>19947</v>
      </c>
      <c r="P3" s="149"/>
      <c r="Q3" s="149"/>
    </row>
    <row r="4" spans="1:17" ht="14.25">
      <c r="A4" s="119"/>
      <c r="B4" s="116" t="s">
        <v>95</v>
      </c>
      <c r="C4" s="117">
        <v>227193</v>
      </c>
      <c r="D4" s="117">
        <v>68424</v>
      </c>
      <c r="E4" s="122">
        <v>232952</v>
      </c>
      <c r="F4" s="117">
        <v>443</v>
      </c>
      <c r="G4" s="117">
        <v>2809</v>
      </c>
      <c r="H4" s="117">
        <v>0</v>
      </c>
      <c r="I4" s="117">
        <v>0</v>
      </c>
      <c r="J4" s="117">
        <v>0</v>
      </c>
      <c r="K4" s="117">
        <v>0</v>
      </c>
      <c r="L4" s="117">
        <v>0</v>
      </c>
      <c r="M4" s="117">
        <v>40167</v>
      </c>
      <c r="N4" s="117">
        <v>4279</v>
      </c>
      <c r="O4" s="168">
        <f t="shared" si="0"/>
        <v>576267</v>
      </c>
      <c r="P4" s="149"/>
      <c r="Q4" s="149"/>
    </row>
    <row r="5" spans="1:17" ht="14.25" customHeight="1">
      <c r="A5" s="119" t="s">
        <v>96</v>
      </c>
      <c r="B5" s="120" t="s">
        <v>93</v>
      </c>
      <c r="C5" s="167">
        <v>15806</v>
      </c>
      <c r="D5" s="169">
        <v>5401</v>
      </c>
      <c r="E5" s="167">
        <v>85678</v>
      </c>
      <c r="F5" s="167">
        <v>1</v>
      </c>
      <c r="G5" s="167">
        <v>0</v>
      </c>
      <c r="H5" s="167">
        <v>0</v>
      </c>
      <c r="I5" s="167">
        <v>0</v>
      </c>
      <c r="J5" s="167">
        <v>0</v>
      </c>
      <c r="K5" s="167">
        <v>0</v>
      </c>
      <c r="L5" s="167">
        <v>0</v>
      </c>
      <c r="M5" s="167">
        <v>60</v>
      </c>
      <c r="N5" s="167">
        <v>0</v>
      </c>
      <c r="O5" s="167">
        <f t="shared" si="0"/>
        <v>106946</v>
      </c>
      <c r="P5" s="149"/>
      <c r="Q5" s="149"/>
    </row>
    <row r="6" spans="1:17" ht="14.25">
      <c r="A6" s="119"/>
      <c r="B6" s="113" t="s">
        <v>94</v>
      </c>
      <c r="C6" s="167">
        <f aca="true" t="shared" si="2" ref="C6:N6">(C7-C5)</f>
        <v>304</v>
      </c>
      <c r="D6" s="169">
        <f t="shared" si="2"/>
        <v>38</v>
      </c>
      <c r="E6" s="167">
        <f t="shared" si="2"/>
        <v>4577</v>
      </c>
      <c r="F6" s="167">
        <f t="shared" si="2"/>
        <v>-1</v>
      </c>
      <c r="G6" s="167">
        <f t="shared" si="2"/>
        <v>0</v>
      </c>
      <c r="H6" s="167">
        <f t="shared" si="2"/>
        <v>0</v>
      </c>
      <c r="I6" s="167">
        <f t="shared" si="2"/>
        <v>0</v>
      </c>
      <c r="J6" s="167">
        <f t="shared" si="2"/>
        <v>0</v>
      </c>
      <c r="K6" s="167">
        <f t="shared" si="2"/>
        <v>0</v>
      </c>
      <c r="L6" s="167">
        <f t="shared" si="2"/>
        <v>0</v>
      </c>
      <c r="M6" s="167">
        <f t="shared" si="2"/>
        <v>-60</v>
      </c>
      <c r="N6" s="167">
        <f t="shared" si="2"/>
        <v>0</v>
      </c>
      <c r="O6" s="167">
        <f t="shared" si="0"/>
        <v>4858</v>
      </c>
      <c r="P6" s="149"/>
      <c r="Q6" s="149"/>
    </row>
    <row r="7" spans="1:17" ht="14.25">
      <c r="A7" s="119"/>
      <c r="B7" s="116" t="s">
        <v>95</v>
      </c>
      <c r="C7" s="117">
        <v>16110</v>
      </c>
      <c r="D7" s="170">
        <v>5439</v>
      </c>
      <c r="E7" s="122">
        <v>90255</v>
      </c>
      <c r="F7" s="117">
        <v>0</v>
      </c>
      <c r="G7" s="117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67">
        <f t="shared" si="0"/>
        <v>111804</v>
      </c>
      <c r="P7" s="149"/>
      <c r="Q7" s="149"/>
    </row>
    <row r="8" spans="1:17" ht="14.25" customHeight="1">
      <c r="A8" s="123" t="s">
        <v>97</v>
      </c>
      <c r="B8" s="120" t="s">
        <v>93</v>
      </c>
      <c r="C8" s="166">
        <v>1311115</v>
      </c>
      <c r="D8" s="171">
        <v>419831</v>
      </c>
      <c r="E8" s="166">
        <v>762197</v>
      </c>
      <c r="F8" s="166">
        <v>0</v>
      </c>
      <c r="G8" s="166">
        <v>30936</v>
      </c>
      <c r="H8" s="166">
        <v>0</v>
      </c>
      <c r="I8" s="166">
        <v>120</v>
      </c>
      <c r="J8" s="166">
        <v>7900</v>
      </c>
      <c r="K8" s="166">
        <v>0</v>
      </c>
      <c r="L8" s="166">
        <v>2000</v>
      </c>
      <c r="M8" s="167">
        <v>16939</v>
      </c>
      <c r="N8" s="167">
        <v>77500</v>
      </c>
      <c r="O8" s="166">
        <f t="shared" si="0"/>
        <v>2628538</v>
      </c>
      <c r="P8" s="149"/>
      <c r="Q8" s="149"/>
    </row>
    <row r="9" spans="1:17" ht="14.25">
      <c r="A9" s="123"/>
      <c r="B9" s="113" t="s">
        <v>94</v>
      </c>
      <c r="C9" s="167">
        <f aca="true" t="shared" si="3" ref="C9:N9">(C10-C8)</f>
        <v>26081</v>
      </c>
      <c r="D9" s="169">
        <f t="shared" si="3"/>
        <v>-6627</v>
      </c>
      <c r="E9" s="167">
        <f t="shared" si="3"/>
        <v>22086</v>
      </c>
      <c r="F9" s="167">
        <f t="shared" si="3"/>
        <v>0</v>
      </c>
      <c r="G9" s="167">
        <f t="shared" si="3"/>
        <v>0</v>
      </c>
      <c r="H9" s="167">
        <f t="shared" si="3"/>
        <v>0</v>
      </c>
      <c r="I9" s="167">
        <f t="shared" si="3"/>
        <v>0</v>
      </c>
      <c r="J9" s="167">
        <f t="shared" si="3"/>
        <v>-401</v>
      </c>
      <c r="K9" s="167">
        <f t="shared" si="3"/>
        <v>0</v>
      </c>
      <c r="L9" s="167">
        <f t="shared" si="3"/>
        <v>378</v>
      </c>
      <c r="M9" s="167">
        <f t="shared" si="3"/>
        <v>13330</v>
      </c>
      <c r="N9" s="167">
        <f t="shared" si="3"/>
        <v>2453</v>
      </c>
      <c r="O9" s="167">
        <f t="shared" si="0"/>
        <v>57300</v>
      </c>
      <c r="P9" s="149"/>
      <c r="Q9" s="149"/>
    </row>
    <row r="10" spans="1:17" ht="14.25">
      <c r="A10" s="123"/>
      <c r="B10" s="116" t="s">
        <v>152</v>
      </c>
      <c r="C10" s="117">
        <v>1337196</v>
      </c>
      <c r="D10" s="170">
        <v>413204</v>
      </c>
      <c r="E10" s="122">
        <v>784283</v>
      </c>
      <c r="F10" s="117">
        <v>0</v>
      </c>
      <c r="G10" s="117">
        <v>30936</v>
      </c>
      <c r="H10" s="117">
        <v>0</v>
      </c>
      <c r="I10" s="117">
        <v>120</v>
      </c>
      <c r="J10" s="117">
        <v>7499</v>
      </c>
      <c r="K10" s="117">
        <v>0</v>
      </c>
      <c r="L10" s="117">
        <v>2378</v>
      </c>
      <c r="M10" s="117">
        <v>30269</v>
      </c>
      <c r="N10" s="117">
        <v>79953</v>
      </c>
      <c r="O10" s="172">
        <f t="shared" si="0"/>
        <v>2685838</v>
      </c>
      <c r="P10" s="149"/>
      <c r="Q10" s="149"/>
    </row>
    <row r="11" spans="1:17" ht="14.25" customHeight="1">
      <c r="A11" s="125" t="s">
        <v>98</v>
      </c>
      <c r="B11" s="126" t="s">
        <v>93</v>
      </c>
      <c r="C11" s="173">
        <f aca="true" t="shared" si="4" ref="C11:O11">SUM(C2+C5+C8)</f>
        <v>1550522</v>
      </c>
      <c r="D11" s="174">
        <f t="shared" si="4"/>
        <v>498463</v>
      </c>
      <c r="E11" s="173">
        <f t="shared" si="4"/>
        <v>1082665</v>
      </c>
      <c r="F11" s="173">
        <f t="shared" si="4"/>
        <v>463</v>
      </c>
      <c r="G11" s="173">
        <f t="shared" si="4"/>
        <v>33745</v>
      </c>
      <c r="H11" s="173">
        <f t="shared" si="4"/>
        <v>0</v>
      </c>
      <c r="I11" s="173">
        <f t="shared" si="4"/>
        <v>120</v>
      </c>
      <c r="J11" s="173">
        <f t="shared" si="4"/>
        <v>7900</v>
      </c>
      <c r="K11" s="173">
        <f t="shared" si="4"/>
        <v>0</v>
      </c>
      <c r="L11" s="173">
        <f t="shared" si="4"/>
        <v>2000</v>
      </c>
      <c r="M11" s="173">
        <f t="shared" si="4"/>
        <v>38426</v>
      </c>
      <c r="N11" s="173">
        <f t="shared" si="4"/>
        <v>77500</v>
      </c>
      <c r="O11" s="173">
        <f t="shared" si="4"/>
        <v>3291804</v>
      </c>
      <c r="P11" s="149"/>
      <c r="Q11" s="149"/>
    </row>
    <row r="12" spans="1:17" ht="14.25">
      <c r="A12" s="125"/>
      <c r="B12" s="126" t="s">
        <v>94</v>
      </c>
      <c r="C12" s="175">
        <f aca="true" t="shared" si="5" ref="C12:N12">(C13-C11)</f>
        <v>29977</v>
      </c>
      <c r="D12" s="176">
        <f t="shared" si="5"/>
        <v>-11396</v>
      </c>
      <c r="E12" s="175">
        <f t="shared" si="5"/>
        <v>24825</v>
      </c>
      <c r="F12" s="175">
        <f t="shared" si="5"/>
        <v>-20</v>
      </c>
      <c r="G12" s="175">
        <f t="shared" si="5"/>
        <v>0</v>
      </c>
      <c r="H12" s="175">
        <f t="shared" si="5"/>
        <v>0</v>
      </c>
      <c r="I12" s="175">
        <f t="shared" si="5"/>
        <v>0</v>
      </c>
      <c r="J12" s="175">
        <f t="shared" si="5"/>
        <v>-401</v>
      </c>
      <c r="K12" s="175">
        <f t="shared" si="5"/>
        <v>0</v>
      </c>
      <c r="L12" s="175">
        <f t="shared" si="5"/>
        <v>378</v>
      </c>
      <c r="M12" s="175">
        <f t="shared" si="5"/>
        <v>32010</v>
      </c>
      <c r="N12" s="175">
        <f t="shared" si="5"/>
        <v>6732</v>
      </c>
      <c r="O12" s="175">
        <f>SUM(C12:N12)</f>
        <v>82105</v>
      </c>
      <c r="P12" s="149"/>
      <c r="Q12" s="149"/>
    </row>
    <row r="13" spans="1:17" ht="14.25" customHeight="1">
      <c r="A13" s="125"/>
      <c r="B13" s="126" t="s">
        <v>152</v>
      </c>
      <c r="C13" s="177">
        <f aca="true" t="shared" si="6" ref="C13:O13">SUM(C4+C7+C10)</f>
        <v>1580499</v>
      </c>
      <c r="D13" s="178">
        <f t="shared" si="6"/>
        <v>487067</v>
      </c>
      <c r="E13" s="177">
        <f t="shared" si="6"/>
        <v>1107490</v>
      </c>
      <c r="F13" s="177">
        <f t="shared" si="6"/>
        <v>443</v>
      </c>
      <c r="G13" s="177">
        <f t="shared" si="6"/>
        <v>33745</v>
      </c>
      <c r="H13" s="177">
        <f t="shared" si="6"/>
        <v>0</v>
      </c>
      <c r="I13" s="177">
        <f t="shared" si="6"/>
        <v>120</v>
      </c>
      <c r="J13" s="177">
        <f t="shared" si="6"/>
        <v>7499</v>
      </c>
      <c r="K13" s="177">
        <f t="shared" si="6"/>
        <v>0</v>
      </c>
      <c r="L13" s="177">
        <f t="shared" si="6"/>
        <v>2378</v>
      </c>
      <c r="M13" s="177">
        <f t="shared" si="6"/>
        <v>70436</v>
      </c>
      <c r="N13" s="177">
        <f t="shared" si="6"/>
        <v>84232</v>
      </c>
      <c r="O13" s="177">
        <f t="shared" si="6"/>
        <v>3373909</v>
      </c>
      <c r="P13" s="149"/>
      <c r="Q13" s="149"/>
    </row>
    <row r="14" spans="1:17" ht="15" customHeight="1">
      <c r="A14" s="125" t="s">
        <v>99</v>
      </c>
      <c r="B14" s="150" t="s">
        <v>153</v>
      </c>
      <c r="C14" s="175">
        <f aca="true" t="shared" si="7" ref="C14:O16">C11</f>
        <v>1550522</v>
      </c>
      <c r="D14" s="175">
        <f t="shared" si="7"/>
        <v>498463</v>
      </c>
      <c r="E14" s="175">
        <f t="shared" si="7"/>
        <v>1082665</v>
      </c>
      <c r="F14" s="175">
        <f t="shared" si="7"/>
        <v>463</v>
      </c>
      <c r="G14" s="175">
        <f t="shared" si="7"/>
        <v>33745</v>
      </c>
      <c r="H14" s="175">
        <f t="shared" si="7"/>
        <v>0</v>
      </c>
      <c r="I14" s="175">
        <f t="shared" si="7"/>
        <v>120</v>
      </c>
      <c r="J14" s="175">
        <f t="shared" si="7"/>
        <v>7900</v>
      </c>
      <c r="K14" s="175">
        <f t="shared" si="7"/>
        <v>0</v>
      </c>
      <c r="L14" s="175">
        <f t="shared" si="7"/>
        <v>2000</v>
      </c>
      <c r="M14" s="175">
        <f t="shared" si="7"/>
        <v>38426</v>
      </c>
      <c r="N14" s="175">
        <f t="shared" si="7"/>
        <v>77500</v>
      </c>
      <c r="O14" s="175">
        <f t="shared" si="7"/>
        <v>3291804</v>
      </c>
      <c r="P14" s="149"/>
      <c r="Q14" s="149"/>
    </row>
    <row r="15" spans="1:17" ht="15" customHeight="1">
      <c r="A15" s="125"/>
      <c r="B15" s="150" t="s">
        <v>94</v>
      </c>
      <c r="C15" s="177">
        <f>C12</f>
        <v>29977</v>
      </c>
      <c r="D15" s="177">
        <f t="shared" si="7"/>
        <v>-11396</v>
      </c>
      <c r="E15" s="177">
        <f t="shared" si="7"/>
        <v>24825</v>
      </c>
      <c r="F15" s="177">
        <f t="shared" si="7"/>
        <v>-20</v>
      </c>
      <c r="G15" s="177">
        <f t="shared" si="7"/>
        <v>0</v>
      </c>
      <c r="H15" s="177">
        <f t="shared" si="7"/>
        <v>0</v>
      </c>
      <c r="I15" s="177">
        <f t="shared" si="7"/>
        <v>0</v>
      </c>
      <c r="J15" s="177">
        <f t="shared" si="7"/>
        <v>-401</v>
      </c>
      <c r="K15" s="177">
        <f t="shared" si="7"/>
        <v>0</v>
      </c>
      <c r="L15" s="177">
        <f t="shared" si="7"/>
        <v>378</v>
      </c>
      <c r="M15" s="177">
        <f t="shared" si="7"/>
        <v>32010</v>
      </c>
      <c r="N15" s="177">
        <f t="shared" si="7"/>
        <v>6732</v>
      </c>
      <c r="O15" s="177">
        <f t="shared" si="7"/>
        <v>82105</v>
      </c>
      <c r="P15" s="149"/>
      <c r="Q15" s="149"/>
    </row>
    <row r="16" spans="1:17" ht="15" customHeight="1">
      <c r="A16" s="125"/>
      <c r="B16" s="150" t="s">
        <v>152</v>
      </c>
      <c r="C16" s="177">
        <f>C13</f>
        <v>1580499</v>
      </c>
      <c r="D16" s="177">
        <f t="shared" si="7"/>
        <v>487067</v>
      </c>
      <c r="E16" s="177">
        <f t="shared" si="7"/>
        <v>1107490</v>
      </c>
      <c r="F16" s="177">
        <f t="shared" si="7"/>
        <v>443</v>
      </c>
      <c r="G16" s="177">
        <f t="shared" si="7"/>
        <v>33745</v>
      </c>
      <c r="H16" s="177">
        <f t="shared" si="7"/>
        <v>0</v>
      </c>
      <c r="I16" s="177">
        <f t="shared" si="7"/>
        <v>120</v>
      </c>
      <c r="J16" s="177">
        <f t="shared" si="7"/>
        <v>7499</v>
      </c>
      <c r="K16" s="177">
        <f t="shared" si="7"/>
        <v>0</v>
      </c>
      <c r="L16" s="177">
        <f t="shared" si="7"/>
        <v>2378</v>
      </c>
      <c r="M16" s="177">
        <f t="shared" si="7"/>
        <v>70436</v>
      </c>
      <c r="N16" s="177">
        <f t="shared" si="7"/>
        <v>84232</v>
      </c>
      <c r="O16" s="177">
        <f t="shared" si="7"/>
        <v>3373909</v>
      </c>
      <c r="P16" s="149"/>
      <c r="Q16" s="149"/>
    </row>
    <row r="17" spans="1:17" ht="15.75" customHeight="1">
      <c r="A17" s="119" t="s">
        <v>100</v>
      </c>
      <c r="B17" s="120" t="s">
        <v>93</v>
      </c>
      <c r="C17" s="167">
        <v>740729</v>
      </c>
      <c r="D17" s="169">
        <v>233485</v>
      </c>
      <c r="E17" s="167">
        <v>302063</v>
      </c>
      <c r="F17" s="167">
        <v>0</v>
      </c>
      <c r="G17" s="167">
        <v>10290</v>
      </c>
      <c r="H17" s="167">
        <v>0</v>
      </c>
      <c r="I17" s="167">
        <v>0</v>
      </c>
      <c r="J17" s="167">
        <v>0</v>
      </c>
      <c r="K17" s="167">
        <v>0</v>
      </c>
      <c r="L17" s="167">
        <v>12750</v>
      </c>
      <c r="M17" s="167">
        <v>4705</v>
      </c>
      <c r="N17" s="167">
        <v>0</v>
      </c>
      <c r="O17" s="167">
        <f aca="true" t="shared" si="8" ref="O17:O22">SUM(C17:N17)</f>
        <v>1304022</v>
      </c>
      <c r="P17" s="149"/>
      <c r="Q17" s="149"/>
    </row>
    <row r="18" spans="1:17" ht="14.25">
      <c r="A18" s="119"/>
      <c r="B18" s="113" t="s">
        <v>94</v>
      </c>
      <c r="C18" s="167">
        <f aca="true" t="shared" si="9" ref="C18:N18">(C19-C17)</f>
        <v>6912</v>
      </c>
      <c r="D18" s="169">
        <f t="shared" si="9"/>
        <v>2214</v>
      </c>
      <c r="E18" s="167">
        <f t="shared" si="9"/>
        <v>1490</v>
      </c>
      <c r="F18" s="167">
        <f t="shared" si="9"/>
        <v>0</v>
      </c>
      <c r="G18" s="167">
        <f t="shared" si="9"/>
        <v>0</v>
      </c>
      <c r="H18" s="167">
        <f t="shared" si="9"/>
        <v>0</v>
      </c>
      <c r="I18" s="167">
        <f t="shared" si="9"/>
        <v>0</v>
      </c>
      <c r="J18" s="167">
        <f t="shared" si="9"/>
        <v>0</v>
      </c>
      <c r="K18" s="167">
        <f t="shared" si="9"/>
        <v>0</v>
      </c>
      <c r="L18" s="167">
        <f t="shared" si="9"/>
        <v>-800</v>
      </c>
      <c r="M18" s="167">
        <f t="shared" si="9"/>
        <v>910</v>
      </c>
      <c r="N18" s="167">
        <f t="shared" si="9"/>
        <v>0</v>
      </c>
      <c r="O18" s="167">
        <f t="shared" si="8"/>
        <v>10726</v>
      </c>
      <c r="P18" s="149"/>
      <c r="Q18" s="149"/>
    </row>
    <row r="19" spans="1:17" ht="14.25">
      <c r="A19" s="119"/>
      <c r="B19" s="116" t="s">
        <v>95</v>
      </c>
      <c r="C19" s="172">
        <v>747641</v>
      </c>
      <c r="D19" s="179">
        <v>235699</v>
      </c>
      <c r="E19" s="172">
        <v>303553</v>
      </c>
      <c r="F19" s="172">
        <v>0</v>
      </c>
      <c r="G19" s="172">
        <v>10290</v>
      </c>
      <c r="H19" s="172">
        <v>0</v>
      </c>
      <c r="I19" s="172">
        <v>0</v>
      </c>
      <c r="J19" s="172">
        <v>0</v>
      </c>
      <c r="K19" s="172">
        <v>0</v>
      </c>
      <c r="L19" s="172">
        <v>11950</v>
      </c>
      <c r="M19" s="172">
        <v>5615</v>
      </c>
      <c r="N19" s="172">
        <v>0</v>
      </c>
      <c r="O19" s="172">
        <f t="shared" si="8"/>
        <v>1314748</v>
      </c>
      <c r="P19" s="149"/>
      <c r="Q19" s="149"/>
    </row>
    <row r="20" spans="1:17" ht="14.25">
      <c r="A20" s="136" t="s">
        <v>101</v>
      </c>
      <c r="B20" s="120" t="s">
        <v>93</v>
      </c>
      <c r="C20" s="167">
        <v>42596</v>
      </c>
      <c r="D20" s="169">
        <v>13339</v>
      </c>
      <c r="E20" s="167">
        <v>12520</v>
      </c>
      <c r="F20" s="167">
        <v>0</v>
      </c>
      <c r="G20" s="167">
        <v>340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80">
        <v>0</v>
      </c>
      <c r="N20" s="180">
        <v>0</v>
      </c>
      <c r="O20" s="167">
        <f t="shared" si="8"/>
        <v>68795</v>
      </c>
      <c r="P20" s="149"/>
      <c r="Q20" s="149"/>
    </row>
    <row r="21" spans="1:17" ht="14.25">
      <c r="A21" s="136"/>
      <c r="B21" s="113" t="s">
        <v>94</v>
      </c>
      <c r="C21" s="167">
        <f aca="true" t="shared" si="10" ref="C21:N21">(C22-C20)</f>
        <v>276</v>
      </c>
      <c r="D21" s="169">
        <f t="shared" si="10"/>
        <v>88</v>
      </c>
      <c r="E21" s="167">
        <f t="shared" si="10"/>
        <v>-678</v>
      </c>
      <c r="F21" s="167">
        <f t="shared" si="10"/>
        <v>0</v>
      </c>
      <c r="G21" s="167">
        <f t="shared" si="10"/>
        <v>0</v>
      </c>
      <c r="H21" s="167">
        <f t="shared" si="10"/>
        <v>0</v>
      </c>
      <c r="I21" s="167">
        <f t="shared" si="10"/>
        <v>0</v>
      </c>
      <c r="J21" s="167">
        <f t="shared" si="10"/>
        <v>0</v>
      </c>
      <c r="K21" s="167">
        <f t="shared" si="10"/>
        <v>0</v>
      </c>
      <c r="L21" s="167">
        <f t="shared" si="10"/>
        <v>0</v>
      </c>
      <c r="M21" s="167">
        <f t="shared" si="10"/>
        <v>1000</v>
      </c>
      <c r="N21" s="167">
        <f t="shared" si="10"/>
        <v>0</v>
      </c>
      <c r="O21" s="167">
        <f t="shared" si="8"/>
        <v>686</v>
      </c>
      <c r="P21" s="149"/>
      <c r="Q21" s="149"/>
    </row>
    <row r="22" spans="1:17" ht="14.25">
      <c r="A22" s="136"/>
      <c r="B22" s="113" t="s">
        <v>95</v>
      </c>
      <c r="C22" s="167">
        <v>42872</v>
      </c>
      <c r="D22" s="169">
        <v>13427</v>
      </c>
      <c r="E22" s="167">
        <v>11842</v>
      </c>
      <c r="F22" s="167">
        <v>0</v>
      </c>
      <c r="G22" s="167">
        <v>340</v>
      </c>
      <c r="H22" s="167">
        <v>0</v>
      </c>
      <c r="I22" s="167">
        <v>0</v>
      </c>
      <c r="J22" s="167">
        <v>0</v>
      </c>
      <c r="K22" s="167">
        <v>0</v>
      </c>
      <c r="L22" s="167">
        <v>0</v>
      </c>
      <c r="M22" s="167">
        <v>1000</v>
      </c>
      <c r="N22" s="180">
        <v>0</v>
      </c>
      <c r="O22" s="167">
        <f t="shared" si="8"/>
        <v>69481</v>
      </c>
      <c r="P22" s="149"/>
      <c r="Q22" s="149"/>
    </row>
    <row r="23" spans="1:17" ht="14.25" customHeight="1">
      <c r="A23" s="125" t="s">
        <v>102</v>
      </c>
      <c r="B23" s="126" t="s">
        <v>93</v>
      </c>
      <c r="C23" s="177">
        <f aca="true" t="shared" si="11" ref="C23:N23">SUM(C17+C20)</f>
        <v>783325</v>
      </c>
      <c r="D23" s="178">
        <f t="shared" si="11"/>
        <v>246824</v>
      </c>
      <c r="E23" s="177">
        <f t="shared" si="11"/>
        <v>314583</v>
      </c>
      <c r="F23" s="177">
        <f t="shared" si="11"/>
        <v>0</v>
      </c>
      <c r="G23" s="177">
        <f t="shared" si="11"/>
        <v>10630</v>
      </c>
      <c r="H23" s="177">
        <f t="shared" si="11"/>
        <v>0</v>
      </c>
      <c r="I23" s="177">
        <f t="shared" si="11"/>
        <v>0</v>
      </c>
      <c r="J23" s="177">
        <f t="shared" si="11"/>
        <v>0</v>
      </c>
      <c r="K23" s="177">
        <f t="shared" si="11"/>
        <v>0</v>
      </c>
      <c r="L23" s="177">
        <f t="shared" si="11"/>
        <v>12750</v>
      </c>
      <c r="M23" s="177">
        <f t="shared" si="11"/>
        <v>4705</v>
      </c>
      <c r="N23" s="177">
        <f t="shared" si="11"/>
        <v>0</v>
      </c>
      <c r="O23" s="177">
        <f>SUM(O17+O20)</f>
        <v>1372817</v>
      </c>
      <c r="P23" s="149"/>
      <c r="Q23" s="149"/>
    </row>
    <row r="24" spans="1:17" ht="14.25">
      <c r="A24" s="125"/>
      <c r="B24" s="126" t="s">
        <v>94</v>
      </c>
      <c r="C24" s="175">
        <f aca="true" t="shared" si="12" ref="C24:N24">(C25-C23)</f>
        <v>7188</v>
      </c>
      <c r="D24" s="176">
        <f t="shared" si="12"/>
        <v>2302</v>
      </c>
      <c r="E24" s="175">
        <f t="shared" si="12"/>
        <v>812</v>
      </c>
      <c r="F24" s="175">
        <f t="shared" si="12"/>
        <v>0</v>
      </c>
      <c r="G24" s="175">
        <f t="shared" si="12"/>
        <v>0</v>
      </c>
      <c r="H24" s="175">
        <f t="shared" si="12"/>
        <v>0</v>
      </c>
      <c r="I24" s="175">
        <f t="shared" si="12"/>
        <v>0</v>
      </c>
      <c r="J24" s="175">
        <f t="shared" si="12"/>
        <v>0</v>
      </c>
      <c r="K24" s="175">
        <f t="shared" si="12"/>
        <v>0</v>
      </c>
      <c r="L24" s="175">
        <f t="shared" si="12"/>
        <v>-800</v>
      </c>
      <c r="M24" s="175">
        <f t="shared" si="12"/>
        <v>1910</v>
      </c>
      <c r="N24" s="175">
        <f t="shared" si="12"/>
        <v>0</v>
      </c>
      <c r="O24" s="175">
        <f>SUM(C24:N24)</f>
        <v>11412</v>
      </c>
      <c r="P24" s="149"/>
      <c r="Q24" s="149"/>
    </row>
    <row r="25" spans="1:17" ht="14.25">
      <c r="A25" s="125"/>
      <c r="B25" s="126" t="s">
        <v>95</v>
      </c>
      <c r="C25" s="177">
        <f aca="true" t="shared" si="13" ref="C25:O25">SUM(C19+C22)</f>
        <v>790513</v>
      </c>
      <c r="D25" s="178">
        <f t="shared" si="13"/>
        <v>249126</v>
      </c>
      <c r="E25" s="177">
        <f t="shared" si="13"/>
        <v>315395</v>
      </c>
      <c r="F25" s="177">
        <f t="shared" si="13"/>
        <v>0</v>
      </c>
      <c r="G25" s="177">
        <f t="shared" si="13"/>
        <v>10630</v>
      </c>
      <c r="H25" s="177">
        <f t="shared" si="13"/>
        <v>0</v>
      </c>
      <c r="I25" s="177">
        <f t="shared" si="13"/>
        <v>0</v>
      </c>
      <c r="J25" s="177">
        <f t="shared" si="13"/>
        <v>0</v>
      </c>
      <c r="K25" s="177">
        <f t="shared" si="13"/>
        <v>0</v>
      </c>
      <c r="L25" s="177">
        <f t="shared" si="13"/>
        <v>11950</v>
      </c>
      <c r="M25" s="177">
        <f t="shared" si="13"/>
        <v>6615</v>
      </c>
      <c r="N25" s="177">
        <f t="shared" si="13"/>
        <v>0</v>
      </c>
      <c r="O25" s="177">
        <f t="shared" si="13"/>
        <v>1384229</v>
      </c>
      <c r="P25" s="149"/>
      <c r="Q25" s="149"/>
    </row>
    <row r="26" spans="1:17" ht="14.25" customHeight="1">
      <c r="A26" s="125" t="s">
        <v>103</v>
      </c>
      <c r="B26" s="126" t="s">
        <v>93</v>
      </c>
      <c r="C26" s="177">
        <v>512364</v>
      </c>
      <c r="D26" s="178">
        <v>162018</v>
      </c>
      <c r="E26" s="177">
        <v>278490</v>
      </c>
      <c r="F26" s="177">
        <v>0</v>
      </c>
      <c r="G26" s="177">
        <v>2346</v>
      </c>
      <c r="H26" s="177">
        <v>0</v>
      </c>
      <c r="I26" s="177">
        <v>0</v>
      </c>
      <c r="J26" s="177">
        <v>0</v>
      </c>
      <c r="K26" s="177">
        <v>0</v>
      </c>
      <c r="L26" s="177">
        <v>2993</v>
      </c>
      <c r="M26" s="177">
        <v>3075</v>
      </c>
      <c r="N26" s="173">
        <v>0</v>
      </c>
      <c r="O26" s="173">
        <f>SUM(C26:N26)</f>
        <v>961286</v>
      </c>
      <c r="P26" s="149"/>
      <c r="Q26" s="149"/>
    </row>
    <row r="27" spans="1:17" ht="14.25">
      <c r="A27" s="125"/>
      <c r="B27" s="138" t="s">
        <v>94</v>
      </c>
      <c r="C27" s="173">
        <f aca="true" t="shared" si="14" ref="C27:N27">(C28-C26)</f>
        <v>4498</v>
      </c>
      <c r="D27" s="174">
        <f t="shared" si="14"/>
        <v>1365</v>
      </c>
      <c r="E27" s="173">
        <f t="shared" si="14"/>
        <v>-875</v>
      </c>
      <c r="F27" s="173">
        <f t="shared" si="14"/>
        <v>0</v>
      </c>
      <c r="G27" s="173">
        <f t="shared" si="14"/>
        <v>0</v>
      </c>
      <c r="H27" s="173">
        <f t="shared" si="14"/>
        <v>0</v>
      </c>
      <c r="I27" s="173">
        <f t="shared" si="14"/>
        <v>0</v>
      </c>
      <c r="J27" s="173">
        <f t="shared" si="14"/>
        <v>0</v>
      </c>
      <c r="K27" s="173">
        <f t="shared" si="14"/>
        <v>0</v>
      </c>
      <c r="L27" s="173">
        <f t="shared" si="14"/>
        <v>-240</v>
      </c>
      <c r="M27" s="173">
        <f t="shared" si="14"/>
        <v>1918</v>
      </c>
      <c r="N27" s="173">
        <f t="shared" si="14"/>
        <v>0</v>
      </c>
      <c r="O27" s="173">
        <f aca="true" t="shared" si="15" ref="O27:O39">SUM(C27:N27)</f>
        <v>6666</v>
      </c>
      <c r="P27" s="149"/>
      <c r="Q27" s="149"/>
    </row>
    <row r="28" spans="1:17" ht="13.5" customHeight="1">
      <c r="A28" s="125"/>
      <c r="B28" s="131" t="s">
        <v>95</v>
      </c>
      <c r="C28" s="173">
        <v>516862</v>
      </c>
      <c r="D28" s="174">
        <v>163383</v>
      </c>
      <c r="E28" s="173">
        <v>277615</v>
      </c>
      <c r="F28" s="173">
        <v>0</v>
      </c>
      <c r="G28" s="173">
        <v>2346</v>
      </c>
      <c r="H28" s="173">
        <v>0</v>
      </c>
      <c r="I28" s="173">
        <v>0</v>
      </c>
      <c r="J28" s="173">
        <v>0</v>
      </c>
      <c r="K28" s="173">
        <v>0</v>
      </c>
      <c r="L28" s="173">
        <v>2753</v>
      </c>
      <c r="M28" s="173">
        <v>4993</v>
      </c>
      <c r="N28" s="173">
        <v>0</v>
      </c>
      <c r="O28" s="173">
        <f t="shared" si="15"/>
        <v>967952</v>
      </c>
      <c r="P28" s="149"/>
      <c r="Q28" s="149"/>
    </row>
    <row r="29" spans="1:17" ht="12.75" customHeight="1">
      <c r="A29" s="125" t="s">
        <v>104</v>
      </c>
      <c r="B29" s="126" t="s">
        <v>93</v>
      </c>
      <c r="C29" s="177">
        <v>538517</v>
      </c>
      <c r="D29" s="178">
        <v>169542</v>
      </c>
      <c r="E29" s="177">
        <v>241995</v>
      </c>
      <c r="F29" s="177">
        <v>0</v>
      </c>
      <c r="G29" s="177">
        <v>8539</v>
      </c>
      <c r="H29" s="177">
        <v>0</v>
      </c>
      <c r="I29" s="177">
        <v>0</v>
      </c>
      <c r="J29" s="177">
        <v>0</v>
      </c>
      <c r="K29" s="177">
        <v>0</v>
      </c>
      <c r="L29" s="177">
        <v>7772</v>
      </c>
      <c r="M29" s="177">
        <v>2496</v>
      </c>
      <c r="N29" s="173">
        <v>0</v>
      </c>
      <c r="O29" s="173">
        <f>SUM(C29:N29)</f>
        <v>968861</v>
      </c>
      <c r="P29" s="149"/>
      <c r="Q29" s="149"/>
    </row>
    <row r="30" spans="1:17" ht="13.5" customHeight="1">
      <c r="A30" s="125"/>
      <c r="B30" s="138" t="s">
        <v>94</v>
      </c>
      <c r="C30" s="173">
        <f aca="true" t="shared" si="16" ref="C30:N30">(C31-C29)</f>
        <v>5085</v>
      </c>
      <c r="D30" s="174">
        <f t="shared" si="16"/>
        <v>1627</v>
      </c>
      <c r="E30" s="173">
        <f t="shared" si="16"/>
        <v>-3669</v>
      </c>
      <c r="F30" s="173">
        <f t="shared" si="16"/>
        <v>0</v>
      </c>
      <c r="G30" s="173">
        <f t="shared" si="16"/>
        <v>0</v>
      </c>
      <c r="H30" s="173">
        <f t="shared" si="16"/>
        <v>0</v>
      </c>
      <c r="I30" s="173">
        <f t="shared" si="16"/>
        <v>0</v>
      </c>
      <c r="J30" s="173">
        <f t="shared" si="16"/>
        <v>0</v>
      </c>
      <c r="K30" s="173">
        <f t="shared" si="16"/>
        <v>0</v>
      </c>
      <c r="L30" s="173">
        <f t="shared" si="16"/>
        <v>-767</v>
      </c>
      <c r="M30" s="173">
        <f t="shared" si="16"/>
        <v>4586</v>
      </c>
      <c r="N30" s="173">
        <f t="shared" si="16"/>
        <v>0</v>
      </c>
      <c r="O30" s="173">
        <f t="shared" si="15"/>
        <v>6862</v>
      </c>
      <c r="P30" s="149"/>
      <c r="Q30" s="149"/>
    </row>
    <row r="31" spans="1:17" ht="13.5" customHeight="1">
      <c r="A31" s="125"/>
      <c r="B31" s="131" t="s">
        <v>152</v>
      </c>
      <c r="C31" s="173">
        <v>543602</v>
      </c>
      <c r="D31" s="174">
        <v>171169</v>
      </c>
      <c r="E31" s="173">
        <v>238326</v>
      </c>
      <c r="F31" s="173">
        <v>0</v>
      </c>
      <c r="G31" s="173">
        <v>8539</v>
      </c>
      <c r="H31" s="173">
        <v>0</v>
      </c>
      <c r="I31" s="173">
        <v>0</v>
      </c>
      <c r="J31" s="173">
        <v>0</v>
      </c>
      <c r="K31" s="173">
        <v>0</v>
      </c>
      <c r="L31" s="173">
        <v>7005</v>
      </c>
      <c r="M31" s="173">
        <v>7082</v>
      </c>
      <c r="N31" s="173">
        <v>0</v>
      </c>
      <c r="O31" s="173">
        <f t="shared" si="15"/>
        <v>975723</v>
      </c>
      <c r="P31" s="149"/>
      <c r="Q31" s="149"/>
    </row>
    <row r="32" spans="1:17" ht="14.25" customHeight="1">
      <c r="A32" s="119" t="s">
        <v>105</v>
      </c>
      <c r="B32" s="120" t="s">
        <v>154</v>
      </c>
      <c r="C32" s="166">
        <v>654815</v>
      </c>
      <c r="D32" s="171">
        <v>208136</v>
      </c>
      <c r="E32" s="166">
        <v>349625</v>
      </c>
      <c r="F32" s="166">
        <v>0</v>
      </c>
      <c r="G32" s="166">
        <v>4264</v>
      </c>
      <c r="H32" s="166">
        <v>0</v>
      </c>
      <c r="I32" s="166">
        <v>0</v>
      </c>
      <c r="J32" s="166">
        <v>0</v>
      </c>
      <c r="K32" s="166">
        <v>0</v>
      </c>
      <c r="L32" s="166">
        <v>6206</v>
      </c>
      <c r="M32" s="181">
        <v>274</v>
      </c>
      <c r="N32" s="140">
        <v>0</v>
      </c>
      <c r="O32" s="167">
        <f>SUM(C32:N32)</f>
        <v>1223320</v>
      </c>
      <c r="P32" s="149"/>
      <c r="Q32" s="149"/>
    </row>
    <row r="33" spans="1:17" ht="14.25">
      <c r="A33" s="119"/>
      <c r="B33" s="113" t="s">
        <v>94</v>
      </c>
      <c r="C33" s="167">
        <f aca="true" t="shared" si="17" ref="C33:N33">(C34-C32)</f>
        <v>9891</v>
      </c>
      <c r="D33" s="169">
        <f t="shared" si="17"/>
        <v>3178</v>
      </c>
      <c r="E33" s="167">
        <f t="shared" si="17"/>
        <v>191</v>
      </c>
      <c r="F33" s="167">
        <f t="shared" si="17"/>
        <v>0</v>
      </c>
      <c r="G33" s="167">
        <f t="shared" si="17"/>
        <v>0</v>
      </c>
      <c r="H33" s="167">
        <f t="shared" si="17"/>
        <v>0</v>
      </c>
      <c r="I33" s="167">
        <f t="shared" si="17"/>
        <v>0</v>
      </c>
      <c r="J33" s="167">
        <f t="shared" si="17"/>
        <v>0</v>
      </c>
      <c r="K33" s="167">
        <f t="shared" si="17"/>
        <v>0</v>
      </c>
      <c r="L33" s="167">
        <f t="shared" si="17"/>
        <v>0</v>
      </c>
      <c r="M33" s="167">
        <f t="shared" si="17"/>
        <v>2132</v>
      </c>
      <c r="N33" s="167">
        <f t="shared" si="17"/>
        <v>0</v>
      </c>
      <c r="O33" s="167">
        <f t="shared" si="15"/>
        <v>15392</v>
      </c>
      <c r="P33" s="149"/>
      <c r="Q33" s="149"/>
    </row>
    <row r="34" spans="1:17" ht="14.25">
      <c r="A34" s="119"/>
      <c r="B34" s="113" t="s">
        <v>95</v>
      </c>
      <c r="C34" s="182">
        <v>664706</v>
      </c>
      <c r="D34" s="183">
        <v>211314</v>
      </c>
      <c r="E34" s="182">
        <v>349816</v>
      </c>
      <c r="F34" s="139">
        <v>0</v>
      </c>
      <c r="G34" s="140">
        <v>4264</v>
      </c>
      <c r="H34" s="140">
        <v>0</v>
      </c>
      <c r="I34" s="140">
        <v>0</v>
      </c>
      <c r="J34" s="140">
        <v>0</v>
      </c>
      <c r="K34" s="139">
        <v>0</v>
      </c>
      <c r="L34" s="140">
        <v>6206</v>
      </c>
      <c r="M34" s="139">
        <v>2406</v>
      </c>
      <c r="N34" s="140">
        <v>0</v>
      </c>
      <c r="O34" s="172">
        <f t="shared" si="15"/>
        <v>1238712</v>
      </c>
      <c r="P34" s="149"/>
      <c r="Q34" s="149"/>
    </row>
    <row r="35" spans="1:17" ht="14.25" customHeight="1">
      <c r="A35" s="119" t="s">
        <v>106</v>
      </c>
      <c r="B35" s="120" t="s">
        <v>93</v>
      </c>
      <c r="C35" s="166">
        <v>229592</v>
      </c>
      <c r="D35" s="171">
        <v>72770</v>
      </c>
      <c r="E35" s="166">
        <v>49129</v>
      </c>
      <c r="F35" s="166">
        <v>0</v>
      </c>
      <c r="G35" s="166">
        <v>0</v>
      </c>
      <c r="H35" s="166">
        <v>0</v>
      </c>
      <c r="I35" s="166">
        <v>0</v>
      </c>
      <c r="J35" s="166">
        <v>0</v>
      </c>
      <c r="K35" s="166">
        <v>0</v>
      </c>
      <c r="L35" s="166">
        <v>1873</v>
      </c>
      <c r="M35" s="166">
        <v>448</v>
      </c>
      <c r="N35" s="166">
        <v>0</v>
      </c>
      <c r="O35" s="167">
        <f t="shared" si="15"/>
        <v>353812</v>
      </c>
      <c r="P35" s="149"/>
      <c r="Q35" s="149"/>
    </row>
    <row r="36" spans="1:17" ht="14.25">
      <c r="A36" s="119"/>
      <c r="B36" s="113" t="s">
        <v>94</v>
      </c>
      <c r="C36" s="167">
        <f aca="true" t="shared" si="18" ref="C36:N36">(C37-C35)</f>
        <v>1840</v>
      </c>
      <c r="D36" s="169">
        <f t="shared" si="18"/>
        <v>589</v>
      </c>
      <c r="E36" s="167">
        <f t="shared" si="18"/>
        <v>-889</v>
      </c>
      <c r="F36" s="167">
        <f t="shared" si="18"/>
        <v>0</v>
      </c>
      <c r="G36" s="167">
        <f t="shared" si="18"/>
        <v>0</v>
      </c>
      <c r="H36" s="167">
        <f t="shared" si="18"/>
        <v>0</v>
      </c>
      <c r="I36" s="167">
        <f t="shared" si="18"/>
        <v>0</v>
      </c>
      <c r="J36" s="167">
        <f t="shared" si="18"/>
        <v>0</v>
      </c>
      <c r="K36" s="167">
        <f t="shared" si="18"/>
        <v>0</v>
      </c>
      <c r="L36" s="167">
        <f t="shared" si="18"/>
        <v>0</v>
      </c>
      <c r="M36" s="167">
        <f t="shared" si="18"/>
        <v>115</v>
      </c>
      <c r="N36" s="167">
        <f t="shared" si="18"/>
        <v>0</v>
      </c>
      <c r="O36" s="167">
        <f t="shared" si="15"/>
        <v>1655</v>
      </c>
      <c r="P36" s="149"/>
      <c r="Q36" s="149"/>
    </row>
    <row r="37" spans="1:17" s="184" customFormat="1" ht="13.5">
      <c r="A37" s="119"/>
      <c r="B37" s="113" t="s">
        <v>95</v>
      </c>
      <c r="C37" s="182">
        <v>231432</v>
      </c>
      <c r="D37" s="183">
        <v>73359</v>
      </c>
      <c r="E37" s="182">
        <v>48240</v>
      </c>
      <c r="F37" s="139">
        <v>0</v>
      </c>
      <c r="G37" s="140">
        <v>0</v>
      </c>
      <c r="H37" s="140">
        <v>0</v>
      </c>
      <c r="I37" s="140">
        <v>0</v>
      </c>
      <c r="J37" s="140">
        <v>0</v>
      </c>
      <c r="K37" s="139">
        <v>0</v>
      </c>
      <c r="L37" s="140">
        <v>1873</v>
      </c>
      <c r="M37" s="139">
        <v>563</v>
      </c>
      <c r="N37" s="140">
        <v>0</v>
      </c>
      <c r="O37" s="167">
        <f t="shared" si="15"/>
        <v>355467</v>
      </c>
      <c r="P37" s="149"/>
      <c r="Q37" s="149"/>
    </row>
    <row r="38" spans="1:17" ht="14.25" customHeight="1">
      <c r="A38" s="125" t="s">
        <v>107</v>
      </c>
      <c r="B38" s="152" t="s">
        <v>93</v>
      </c>
      <c r="C38" s="173">
        <f aca="true" t="shared" si="19" ref="C38:N38">SUM(C32+C35)</f>
        <v>884407</v>
      </c>
      <c r="D38" s="185">
        <f t="shared" si="19"/>
        <v>280906</v>
      </c>
      <c r="E38" s="177">
        <f t="shared" si="19"/>
        <v>398754</v>
      </c>
      <c r="F38" s="177">
        <f t="shared" si="19"/>
        <v>0</v>
      </c>
      <c r="G38" s="177">
        <f t="shared" si="19"/>
        <v>4264</v>
      </c>
      <c r="H38" s="174">
        <f t="shared" si="19"/>
        <v>0</v>
      </c>
      <c r="I38" s="173">
        <f t="shared" si="19"/>
        <v>0</v>
      </c>
      <c r="J38" s="173">
        <f t="shared" si="19"/>
        <v>0</v>
      </c>
      <c r="K38" s="173">
        <f t="shared" si="19"/>
        <v>0</v>
      </c>
      <c r="L38" s="173">
        <f t="shared" si="19"/>
        <v>8079</v>
      </c>
      <c r="M38" s="173">
        <f t="shared" si="19"/>
        <v>722</v>
      </c>
      <c r="N38" s="185">
        <f t="shared" si="19"/>
        <v>0</v>
      </c>
      <c r="O38" s="177">
        <f t="shared" si="15"/>
        <v>1577132</v>
      </c>
      <c r="P38" s="149"/>
      <c r="Q38" s="149"/>
    </row>
    <row r="39" spans="1:17" ht="14.25">
      <c r="A39" s="125"/>
      <c r="B39" s="152" t="s">
        <v>94</v>
      </c>
      <c r="C39" s="175">
        <f aca="true" t="shared" si="20" ref="C39:N39">(C40-C38)</f>
        <v>11731</v>
      </c>
      <c r="D39" s="186">
        <f t="shared" si="20"/>
        <v>3767</v>
      </c>
      <c r="E39" s="175">
        <f t="shared" si="20"/>
        <v>-698</v>
      </c>
      <c r="F39" s="187">
        <f t="shared" si="20"/>
        <v>0</v>
      </c>
      <c r="G39" s="175">
        <f t="shared" si="20"/>
        <v>0</v>
      </c>
      <c r="H39" s="176">
        <f t="shared" si="20"/>
        <v>0</v>
      </c>
      <c r="I39" s="175">
        <f t="shared" si="20"/>
        <v>0</v>
      </c>
      <c r="J39" s="175">
        <f t="shared" si="20"/>
        <v>0</v>
      </c>
      <c r="K39" s="175">
        <f t="shared" si="20"/>
        <v>0</v>
      </c>
      <c r="L39" s="175">
        <f t="shared" si="20"/>
        <v>0</v>
      </c>
      <c r="M39" s="175">
        <f t="shared" si="20"/>
        <v>2247</v>
      </c>
      <c r="N39" s="175">
        <f t="shared" si="20"/>
        <v>0</v>
      </c>
      <c r="O39" s="175">
        <f t="shared" si="15"/>
        <v>17047</v>
      </c>
      <c r="P39" s="149"/>
      <c r="Q39" s="149"/>
    </row>
    <row r="40" spans="1:17" ht="12.75" customHeight="1">
      <c r="A40" s="125"/>
      <c r="B40" s="152" t="s">
        <v>95</v>
      </c>
      <c r="C40" s="188">
        <f aca="true" t="shared" si="21" ref="C40:O40">SUM(C34+C37)</f>
        <v>896138</v>
      </c>
      <c r="D40" s="189">
        <f t="shared" si="21"/>
        <v>284673</v>
      </c>
      <c r="E40" s="177">
        <f t="shared" si="21"/>
        <v>398056</v>
      </c>
      <c r="F40" s="190">
        <f t="shared" si="21"/>
        <v>0</v>
      </c>
      <c r="G40" s="177">
        <f t="shared" si="21"/>
        <v>4264</v>
      </c>
      <c r="H40" s="191">
        <f t="shared" si="21"/>
        <v>0</v>
      </c>
      <c r="I40" s="188">
        <f t="shared" si="21"/>
        <v>0</v>
      </c>
      <c r="J40" s="188">
        <f t="shared" si="21"/>
        <v>0</v>
      </c>
      <c r="K40" s="188">
        <f t="shared" si="21"/>
        <v>0</v>
      </c>
      <c r="L40" s="188">
        <f t="shared" si="21"/>
        <v>8079</v>
      </c>
      <c r="M40" s="188">
        <f t="shared" si="21"/>
        <v>2969</v>
      </c>
      <c r="N40" s="188">
        <f t="shared" si="21"/>
        <v>0</v>
      </c>
      <c r="O40" s="188">
        <f t="shared" si="21"/>
        <v>1594179</v>
      </c>
      <c r="P40" s="149"/>
      <c r="Q40" s="149"/>
    </row>
    <row r="41" spans="1:17" ht="16.5" customHeight="1">
      <c r="A41" s="125" t="s">
        <v>108</v>
      </c>
      <c r="B41" s="126" t="s">
        <v>93</v>
      </c>
      <c r="C41" s="177">
        <v>505370</v>
      </c>
      <c r="D41" s="177">
        <v>159780</v>
      </c>
      <c r="E41" s="177">
        <v>179337</v>
      </c>
      <c r="F41" s="177">
        <v>0</v>
      </c>
      <c r="G41" s="177">
        <v>3986</v>
      </c>
      <c r="H41" s="177">
        <v>0</v>
      </c>
      <c r="I41" s="177">
        <v>0</v>
      </c>
      <c r="J41" s="177">
        <v>0</v>
      </c>
      <c r="K41" s="177">
        <v>0</v>
      </c>
      <c r="L41" s="177">
        <v>3888</v>
      </c>
      <c r="M41" s="177">
        <v>10932</v>
      </c>
      <c r="N41" s="177">
        <v>0</v>
      </c>
      <c r="O41" s="177">
        <f aca="true" t="shared" si="22" ref="O41:O55">SUM(C41:N41)</f>
        <v>863293</v>
      </c>
      <c r="P41" s="149"/>
      <c r="Q41" s="149"/>
    </row>
    <row r="42" spans="1:17" ht="15.75" customHeight="1">
      <c r="A42" s="125"/>
      <c r="B42" s="138" t="s">
        <v>94</v>
      </c>
      <c r="C42" s="173">
        <f aca="true" t="shared" si="23" ref="C42:N42">(C43-C41)</f>
        <v>2529</v>
      </c>
      <c r="D42" s="173">
        <f t="shared" si="23"/>
        <v>1450</v>
      </c>
      <c r="E42" s="173">
        <f t="shared" si="23"/>
        <v>-2488</v>
      </c>
      <c r="F42" s="173">
        <f t="shared" si="23"/>
        <v>0</v>
      </c>
      <c r="G42" s="173">
        <f t="shared" si="23"/>
        <v>0</v>
      </c>
      <c r="H42" s="173">
        <f t="shared" si="23"/>
        <v>0</v>
      </c>
      <c r="I42" s="173">
        <f t="shared" si="23"/>
        <v>0</v>
      </c>
      <c r="J42" s="173">
        <f t="shared" si="23"/>
        <v>0</v>
      </c>
      <c r="K42" s="173">
        <f t="shared" si="23"/>
        <v>0</v>
      </c>
      <c r="L42" s="173">
        <f t="shared" si="23"/>
        <v>-1214</v>
      </c>
      <c r="M42" s="173">
        <f t="shared" si="23"/>
        <v>7526</v>
      </c>
      <c r="N42" s="173">
        <f t="shared" si="23"/>
        <v>0</v>
      </c>
      <c r="O42" s="173">
        <f t="shared" si="22"/>
        <v>7803</v>
      </c>
      <c r="P42" s="149"/>
      <c r="Q42" s="149"/>
    </row>
    <row r="43" spans="1:17" ht="14.25" customHeight="1">
      <c r="A43" s="125"/>
      <c r="B43" s="138" t="s">
        <v>95</v>
      </c>
      <c r="C43" s="192">
        <v>507899</v>
      </c>
      <c r="D43" s="192">
        <v>161230</v>
      </c>
      <c r="E43" s="192">
        <v>176849</v>
      </c>
      <c r="F43" s="192">
        <v>0</v>
      </c>
      <c r="G43" s="148">
        <v>3986</v>
      </c>
      <c r="H43" s="148">
        <v>0</v>
      </c>
      <c r="I43" s="148">
        <v>0</v>
      </c>
      <c r="J43" s="148">
        <v>0</v>
      </c>
      <c r="K43" s="192">
        <v>0</v>
      </c>
      <c r="L43" s="148">
        <v>2674</v>
      </c>
      <c r="M43" s="148">
        <v>18458</v>
      </c>
      <c r="N43" s="148">
        <v>0</v>
      </c>
      <c r="O43" s="175">
        <f t="shared" si="22"/>
        <v>871096</v>
      </c>
      <c r="P43" s="149"/>
      <c r="Q43" s="149"/>
    </row>
    <row r="44" spans="1:17" ht="14.25" customHeight="1">
      <c r="A44" s="119" t="s">
        <v>109</v>
      </c>
      <c r="B44" s="120" t="s">
        <v>93</v>
      </c>
      <c r="C44" s="166">
        <v>196250</v>
      </c>
      <c r="D44" s="166">
        <v>62183</v>
      </c>
      <c r="E44" s="166">
        <v>93850</v>
      </c>
      <c r="F44" s="166">
        <v>0</v>
      </c>
      <c r="G44" s="166">
        <v>668</v>
      </c>
      <c r="H44" s="166">
        <v>1072</v>
      </c>
      <c r="I44" s="166">
        <v>18</v>
      </c>
      <c r="J44" s="166">
        <v>0</v>
      </c>
      <c r="K44" s="166">
        <v>0</v>
      </c>
      <c r="L44" s="166">
        <v>5187</v>
      </c>
      <c r="M44" s="166">
        <v>2500</v>
      </c>
      <c r="N44" s="166">
        <v>1004</v>
      </c>
      <c r="O44" s="166">
        <f t="shared" si="22"/>
        <v>362732</v>
      </c>
      <c r="P44" s="149"/>
      <c r="Q44" s="149"/>
    </row>
    <row r="45" spans="1:17" ht="14.25">
      <c r="A45" s="119"/>
      <c r="B45" s="113" t="s">
        <v>94</v>
      </c>
      <c r="C45" s="167">
        <f aca="true" t="shared" si="24" ref="C45:N45">(C46-C44)</f>
        <v>3339</v>
      </c>
      <c r="D45" s="167">
        <f t="shared" si="24"/>
        <v>1054</v>
      </c>
      <c r="E45" s="167">
        <f t="shared" si="24"/>
        <v>-4467</v>
      </c>
      <c r="F45" s="167">
        <f t="shared" si="24"/>
        <v>0</v>
      </c>
      <c r="G45" s="167">
        <f t="shared" si="24"/>
        <v>0</v>
      </c>
      <c r="H45" s="167">
        <f t="shared" si="24"/>
        <v>-54</v>
      </c>
      <c r="I45" s="167">
        <f t="shared" si="24"/>
        <v>-18</v>
      </c>
      <c r="J45" s="167">
        <f t="shared" si="24"/>
        <v>0</v>
      </c>
      <c r="K45" s="167">
        <f t="shared" si="24"/>
        <v>0</v>
      </c>
      <c r="L45" s="167">
        <f t="shared" si="24"/>
        <v>1088</v>
      </c>
      <c r="M45" s="167">
        <f t="shared" si="24"/>
        <v>4185</v>
      </c>
      <c r="N45" s="167">
        <f t="shared" si="24"/>
        <v>0</v>
      </c>
      <c r="O45" s="167">
        <f t="shared" si="22"/>
        <v>5127</v>
      </c>
      <c r="P45" s="149"/>
      <c r="Q45" s="149"/>
    </row>
    <row r="46" spans="1:17" ht="12.75" customHeight="1">
      <c r="A46" s="119"/>
      <c r="B46" s="116" t="s">
        <v>95</v>
      </c>
      <c r="C46" s="172">
        <v>199589</v>
      </c>
      <c r="D46" s="172">
        <v>63237</v>
      </c>
      <c r="E46" s="172">
        <v>89383</v>
      </c>
      <c r="F46" s="172">
        <v>0</v>
      </c>
      <c r="G46" s="172">
        <v>668</v>
      </c>
      <c r="H46" s="172">
        <v>1018</v>
      </c>
      <c r="I46" s="172">
        <v>0</v>
      </c>
      <c r="J46" s="172">
        <v>0</v>
      </c>
      <c r="K46" s="172">
        <v>0</v>
      </c>
      <c r="L46" s="172">
        <v>6275</v>
      </c>
      <c r="M46" s="172">
        <v>6685</v>
      </c>
      <c r="N46" s="172">
        <v>1004</v>
      </c>
      <c r="O46" s="167">
        <f t="shared" si="22"/>
        <v>367859</v>
      </c>
      <c r="P46" s="149"/>
      <c r="Q46" s="149"/>
    </row>
    <row r="47" spans="1:17" ht="14.25" customHeight="1">
      <c r="A47" s="119" t="s">
        <v>110</v>
      </c>
      <c r="B47" s="120" t="s">
        <v>93</v>
      </c>
      <c r="C47" s="166">
        <v>123869</v>
      </c>
      <c r="D47" s="166">
        <v>39353</v>
      </c>
      <c r="E47" s="166">
        <v>51810</v>
      </c>
      <c r="F47" s="166">
        <v>0</v>
      </c>
      <c r="G47" s="166">
        <v>2323</v>
      </c>
      <c r="H47" s="166">
        <v>0</v>
      </c>
      <c r="I47" s="166">
        <v>0</v>
      </c>
      <c r="J47" s="166">
        <v>0</v>
      </c>
      <c r="K47" s="166">
        <v>0</v>
      </c>
      <c r="L47" s="166">
        <v>2071</v>
      </c>
      <c r="M47" s="166">
        <v>539</v>
      </c>
      <c r="N47" s="166">
        <v>67</v>
      </c>
      <c r="O47" s="166">
        <f t="shared" si="22"/>
        <v>220032</v>
      </c>
      <c r="P47" s="149"/>
      <c r="Q47" s="149"/>
    </row>
    <row r="48" spans="1:17" ht="14.25">
      <c r="A48" s="119"/>
      <c r="B48" s="113" t="s">
        <v>94</v>
      </c>
      <c r="C48" s="167">
        <f aca="true" t="shared" si="25" ref="C48:N48">(C49-C47)</f>
        <v>1265</v>
      </c>
      <c r="D48" s="167">
        <f t="shared" si="25"/>
        <v>405</v>
      </c>
      <c r="E48" s="167">
        <f t="shared" si="25"/>
        <v>-116</v>
      </c>
      <c r="F48" s="167">
        <f t="shared" si="25"/>
        <v>0</v>
      </c>
      <c r="G48" s="167">
        <f t="shared" si="25"/>
        <v>0</v>
      </c>
      <c r="H48" s="167">
        <f t="shared" si="25"/>
        <v>0</v>
      </c>
      <c r="I48" s="167">
        <f t="shared" si="25"/>
        <v>0</v>
      </c>
      <c r="J48" s="167">
        <f t="shared" si="25"/>
        <v>0</v>
      </c>
      <c r="K48" s="167">
        <f t="shared" si="25"/>
        <v>0</v>
      </c>
      <c r="L48" s="167">
        <f t="shared" si="25"/>
        <v>0</v>
      </c>
      <c r="M48" s="167">
        <f t="shared" si="25"/>
        <v>1076</v>
      </c>
      <c r="N48" s="167">
        <f t="shared" si="25"/>
        <v>0</v>
      </c>
      <c r="O48" s="167">
        <f t="shared" si="22"/>
        <v>2630</v>
      </c>
      <c r="P48" s="149"/>
      <c r="Q48" s="149"/>
    </row>
    <row r="49" spans="1:17" ht="14.25">
      <c r="A49" s="119"/>
      <c r="B49" s="116" t="s">
        <v>152</v>
      </c>
      <c r="C49" s="172">
        <v>125134</v>
      </c>
      <c r="D49" s="172">
        <v>39758</v>
      </c>
      <c r="E49" s="172">
        <v>51694</v>
      </c>
      <c r="F49" s="172">
        <v>0</v>
      </c>
      <c r="G49" s="172">
        <v>2323</v>
      </c>
      <c r="H49" s="172">
        <v>0</v>
      </c>
      <c r="I49" s="172">
        <v>0</v>
      </c>
      <c r="J49" s="172">
        <v>0</v>
      </c>
      <c r="K49" s="172">
        <v>0</v>
      </c>
      <c r="L49" s="172">
        <v>2071</v>
      </c>
      <c r="M49" s="172">
        <v>1615</v>
      </c>
      <c r="N49" s="172">
        <v>67</v>
      </c>
      <c r="O49" s="167">
        <f t="shared" si="22"/>
        <v>222662</v>
      </c>
      <c r="P49" s="149"/>
      <c r="Q49" s="149"/>
    </row>
    <row r="50" spans="1:17" ht="14.25" customHeight="1">
      <c r="A50" s="119" t="s">
        <v>111</v>
      </c>
      <c r="B50" s="120" t="s">
        <v>93</v>
      </c>
      <c r="C50" s="166">
        <v>160432</v>
      </c>
      <c r="D50" s="166">
        <v>50717</v>
      </c>
      <c r="E50" s="166">
        <v>62957</v>
      </c>
      <c r="F50" s="166">
        <v>0</v>
      </c>
      <c r="G50" s="166">
        <v>6372</v>
      </c>
      <c r="H50" s="166">
        <v>0</v>
      </c>
      <c r="I50" s="166">
        <v>0</v>
      </c>
      <c r="J50" s="166">
        <v>0</v>
      </c>
      <c r="K50" s="166">
        <v>0</v>
      </c>
      <c r="L50" s="166">
        <v>1665</v>
      </c>
      <c r="M50" s="166">
        <v>691</v>
      </c>
      <c r="N50" s="166">
        <v>1589</v>
      </c>
      <c r="O50" s="166">
        <f t="shared" si="22"/>
        <v>284423</v>
      </c>
      <c r="P50" s="149"/>
      <c r="Q50" s="149"/>
    </row>
    <row r="51" spans="1:17" ht="14.25">
      <c r="A51" s="119"/>
      <c r="B51" s="113" t="s">
        <v>94</v>
      </c>
      <c r="C51" s="167">
        <f aca="true" t="shared" si="26" ref="C51:N51">(C52-C50)</f>
        <v>2115</v>
      </c>
      <c r="D51" s="167">
        <f t="shared" si="26"/>
        <v>623</v>
      </c>
      <c r="E51" s="167">
        <f t="shared" si="26"/>
        <v>715</v>
      </c>
      <c r="F51" s="167">
        <f t="shared" si="26"/>
        <v>0</v>
      </c>
      <c r="G51" s="167">
        <f t="shared" si="26"/>
        <v>0</v>
      </c>
      <c r="H51" s="167">
        <f t="shared" si="26"/>
        <v>0</v>
      </c>
      <c r="I51" s="167">
        <f t="shared" si="26"/>
        <v>0</v>
      </c>
      <c r="J51" s="167">
        <f t="shared" si="26"/>
        <v>0</v>
      </c>
      <c r="K51" s="167">
        <f t="shared" si="26"/>
        <v>0</v>
      </c>
      <c r="L51" s="167">
        <f t="shared" si="26"/>
        <v>0</v>
      </c>
      <c r="M51" s="167">
        <f t="shared" si="26"/>
        <v>0</v>
      </c>
      <c r="N51" s="167">
        <f t="shared" si="26"/>
        <v>0</v>
      </c>
      <c r="O51" s="167">
        <f t="shared" si="22"/>
        <v>3453</v>
      </c>
      <c r="P51" s="149"/>
      <c r="Q51" s="149"/>
    </row>
    <row r="52" spans="1:17" ht="14.25">
      <c r="A52" s="119"/>
      <c r="B52" s="116" t="s">
        <v>95</v>
      </c>
      <c r="C52" s="172">
        <v>162547</v>
      </c>
      <c r="D52" s="172">
        <v>51340</v>
      </c>
      <c r="E52" s="172">
        <v>63672</v>
      </c>
      <c r="F52" s="172">
        <v>0</v>
      </c>
      <c r="G52" s="172">
        <v>6372</v>
      </c>
      <c r="H52" s="172">
        <v>0</v>
      </c>
      <c r="I52" s="172">
        <v>0</v>
      </c>
      <c r="J52" s="172">
        <v>0</v>
      </c>
      <c r="K52" s="172">
        <v>0</v>
      </c>
      <c r="L52" s="172">
        <v>1665</v>
      </c>
      <c r="M52" s="172">
        <v>691</v>
      </c>
      <c r="N52" s="172">
        <v>1589</v>
      </c>
      <c r="O52" s="167">
        <f t="shared" si="22"/>
        <v>287876</v>
      </c>
      <c r="P52" s="149"/>
      <c r="Q52" s="149"/>
    </row>
    <row r="53" spans="1:17" ht="14.25" customHeight="1">
      <c r="A53" s="119" t="s">
        <v>112</v>
      </c>
      <c r="B53" s="120" t="s">
        <v>93</v>
      </c>
      <c r="C53" s="166">
        <v>67167</v>
      </c>
      <c r="D53" s="166">
        <v>21445</v>
      </c>
      <c r="E53" s="166">
        <v>89288</v>
      </c>
      <c r="F53" s="166">
        <v>0</v>
      </c>
      <c r="G53" s="166">
        <v>1640</v>
      </c>
      <c r="H53" s="166">
        <v>0</v>
      </c>
      <c r="I53" s="166">
        <v>0</v>
      </c>
      <c r="J53" s="166">
        <v>0</v>
      </c>
      <c r="K53" s="166">
        <v>0</v>
      </c>
      <c r="L53" s="166">
        <v>4000</v>
      </c>
      <c r="M53" s="166">
        <v>21</v>
      </c>
      <c r="N53" s="166">
        <v>4265</v>
      </c>
      <c r="O53" s="166">
        <f t="shared" si="22"/>
        <v>187826</v>
      </c>
      <c r="P53" s="149"/>
      <c r="Q53" s="149"/>
    </row>
    <row r="54" spans="1:17" ht="14.25">
      <c r="A54" s="119"/>
      <c r="B54" s="113" t="s">
        <v>94</v>
      </c>
      <c r="C54" s="167">
        <f aca="true" t="shared" si="27" ref="C54:N54">(C55-C53)</f>
        <v>714</v>
      </c>
      <c r="D54" s="167">
        <f t="shared" si="27"/>
        <v>223</v>
      </c>
      <c r="E54" s="167">
        <f t="shared" si="27"/>
        <v>4791</v>
      </c>
      <c r="F54" s="167">
        <f t="shared" si="27"/>
        <v>0</v>
      </c>
      <c r="G54" s="167">
        <f t="shared" si="27"/>
        <v>0</v>
      </c>
      <c r="H54" s="167">
        <f t="shared" si="27"/>
        <v>0</v>
      </c>
      <c r="I54" s="167">
        <f t="shared" si="27"/>
        <v>0</v>
      </c>
      <c r="J54" s="167">
        <f t="shared" si="27"/>
        <v>0</v>
      </c>
      <c r="K54" s="167">
        <f t="shared" si="27"/>
        <v>0</v>
      </c>
      <c r="L54" s="167">
        <f t="shared" si="27"/>
        <v>472</v>
      </c>
      <c r="M54" s="167">
        <f t="shared" si="27"/>
        <v>0</v>
      </c>
      <c r="N54" s="167">
        <f t="shared" si="27"/>
        <v>0</v>
      </c>
      <c r="O54" s="167">
        <f t="shared" si="22"/>
        <v>6200</v>
      </c>
      <c r="P54" s="149"/>
      <c r="Q54" s="149"/>
    </row>
    <row r="55" spans="1:17" ht="14.25">
      <c r="A55" s="119"/>
      <c r="B55" s="116" t="s">
        <v>95</v>
      </c>
      <c r="C55" s="172">
        <v>67881</v>
      </c>
      <c r="D55" s="172">
        <v>21668</v>
      </c>
      <c r="E55" s="172">
        <v>94079</v>
      </c>
      <c r="F55" s="172">
        <v>0</v>
      </c>
      <c r="G55" s="172">
        <v>1640</v>
      </c>
      <c r="H55" s="172">
        <v>0</v>
      </c>
      <c r="I55" s="172">
        <v>0</v>
      </c>
      <c r="J55" s="172">
        <v>0</v>
      </c>
      <c r="K55" s="172">
        <v>0</v>
      </c>
      <c r="L55" s="172">
        <v>4472</v>
      </c>
      <c r="M55" s="172">
        <v>21</v>
      </c>
      <c r="N55" s="172">
        <v>4265</v>
      </c>
      <c r="O55" s="167">
        <f t="shared" si="22"/>
        <v>194026</v>
      </c>
      <c r="P55" s="149"/>
      <c r="Q55" s="149"/>
    </row>
    <row r="56" spans="1:17" ht="14.25" customHeight="1">
      <c r="A56" s="125" t="s">
        <v>113</v>
      </c>
      <c r="B56" s="126" t="s">
        <v>93</v>
      </c>
      <c r="C56" s="177">
        <f aca="true" t="shared" si="28" ref="C56:O56">SUM(C44+C47+C50+C53)</f>
        <v>547718</v>
      </c>
      <c r="D56" s="177">
        <f t="shared" si="28"/>
        <v>173698</v>
      </c>
      <c r="E56" s="177">
        <f t="shared" si="28"/>
        <v>297905</v>
      </c>
      <c r="F56" s="177">
        <f t="shared" si="28"/>
        <v>0</v>
      </c>
      <c r="G56" s="177">
        <f t="shared" si="28"/>
        <v>11003</v>
      </c>
      <c r="H56" s="177">
        <f t="shared" si="28"/>
        <v>1072</v>
      </c>
      <c r="I56" s="177">
        <f t="shared" si="28"/>
        <v>18</v>
      </c>
      <c r="J56" s="177">
        <f t="shared" si="28"/>
        <v>0</v>
      </c>
      <c r="K56" s="177">
        <f t="shared" si="28"/>
        <v>0</v>
      </c>
      <c r="L56" s="177">
        <f t="shared" si="28"/>
        <v>12923</v>
      </c>
      <c r="M56" s="177">
        <f t="shared" si="28"/>
        <v>3751</v>
      </c>
      <c r="N56" s="177">
        <f t="shared" si="28"/>
        <v>6925</v>
      </c>
      <c r="O56" s="177">
        <f t="shared" si="28"/>
        <v>1055013</v>
      </c>
      <c r="P56" s="149"/>
      <c r="Q56" s="149"/>
    </row>
    <row r="57" spans="1:17" ht="14.25">
      <c r="A57" s="125"/>
      <c r="B57" s="126" t="s">
        <v>94</v>
      </c>
      <c r="C57" s="175">
        <f aca="true" t="shared" si="29" ref="C57:N57">(C58-C56)</f>
        <v>7433</v>
      </c>
      <c r="D57" s="175">
        <f t="shared" si="29"/>
        <v>2305</v>
      </c>
      <c r="E57" s="175">
        <f t="shared" si="29"/>
        <v>923</v>
      </c>
      <c r="F57" s="175">
        <f t="shared" si="29"/>
        <v>0</v>
      </c>
      <c r="G57" s="175">
        <f t="shared" si="29"/>
        <v>0</v>
      </c>
      <c r="H57" s="175">
        <f t="shared" si="29"/>
        <v>-54</v>
      </c>
      <c r="I57" s="175">
        <f t="shared" si="29"/>
        <v>-18</v>
      </c>
      <c r="J57" s="175">
        <f t="shared" si="29"/>
        <v>0</v>
      </c>
      <c r="K57" s="175">
        <f t="shared" si="29"/>
        <v>0</v>
      </c>
      <c r="L57" s="175">
        <f t="shared" si="29"/>
        <v>1560</v>
      </c>
      <c r="M57" s="175">
        <f t="shared" si="29"/>
        <v>5261</v>
      </c>
      <c r="N57" s="175">
        <f t="shared" si="29"/>
        <v>0</v>
      </c>
      <c r="O57" s="175">
        <f>SUM(C57:N57)</f>
        <v>17410</v>
      </c>
      <c r="P57" s="149"/>
      <c r="Q57" s="149"/>
    </row>
    <row r="58" spans="1:17" ht="14.25">
      <c r="A58" s="125"/>
      <c r="B58" s="126" t="s">
        <v>95</v>
      </c>
      <c r="C58" s="188">
        <f aca="true" t="shared" si="30" ref="C58:O58">SUM(C46+C49+C52+C55)</f>
        <v>555151</v>
      </c>
      <c r="D58" s="188">
        <f t="shared" si="30"/>
        <v>176003</v>
      </c>
      <c r="E58" s="188">
        <f t="shared" si="30"/>
        <v>298828</v>
      </c>
      <c r="F58" s="188">
        <f t="shared" si="30"/>
        <v>0</v>
      </c>
      <c r="G58" s="188">
        <f t="shared" si="30"/>
        <v>11003</v>
      </c>
      <c r="H58" s="188">
        <f t="shared" si="30"/>
        <v>1018</v>
      </c>
      <c r="I58" s="188">
        <f t="shared" si="30"/>
        <v>0</v>
      </c>
      <c r="J58" s="188">
        <f t="shared" si="30"/>
        <v>0</v>
      </c>
      <c r="K58" s="188">
        <f t="shared" si="30"/>
        <v>0</v>
      </c>
      <c r="L58" s="188">
        <f t="shared" si="30"/>
        <v>14483</v>
      </c>
      <c r="M58" s="188">
        <f t="shared" si="30"/>
        <v>9012</v>
      </c>
      <c r="N58" s="188">
        <f t="shared" si="30"/>
        <v>6925</v>
      </c>
      <c r="O58" s="188">
        <f t="shared" si="30"/>
        <v>1072423</v>
      </c>
      <c r="P58" s="149"/>
      <c r="Q58" s="149"/>
    </row>
    <row r="59" spans="1:17" ht="14.25" customHeight="1">
      <c r="A59" s="119" t="s">
        <v>114</v>
      </c>
      <c r="B59" s="120" t="s">
        <v>115</v>
      </c>
      <c r="C59" s="166">
        <v>223331</v>
      </c>
      <c r="D59" s="166">
        <v>63602</v>
      </c>
      <c r="E59" s="166">
        <v>82837</v>
      </c>
      <c r="F59" s="166">
        <v>0</v>
      </c>
      <c r="G59" s="166">
        <v>47</v>
      </c>
      <c r="H59" s="166">
        <v>0</v>
      </c>
      <c r="I59" s="193">
        <v>0</v>
      </c>
      <c r="J59" s="166">
        <v>0</v>
      </c>
      <c r="K59" s="166">
        <v>0</v>
      </c>
      <c r="L59" s="166">
        <v>1677</v>
      </c>
      <c r="M59" s="166">
        <v>1517</v>
      </c>
      <c r="N59" s="166">
        <v>0</v>
      </c>
      <c r="O59" s="166">
        <f>SUM(C59:N59)</f>
        <v>373011</v>
      </c>
      <c r="P59" s="149"/>
      <c r="Q59" s="149"/>
    </row>
    <row r="60" spans="1:17" ht="14.25">
      <c r="A60" s="119"/>
      <c r="B60" s="113" t="s">
        <v>94</v>
      </c>
      <c r="C60" s="167">
        <f aca="true" t="shared" si="31" ref="C60:N60">(C61-C59)</f>
        <v>0</v>
      </c>
      <c r="D60" s="167">
        <f t="shared" si="31"/>
        <v>0</v>
      </c>
      <c r="E60" s="167">
        <f t="shared" si="31"/>
        <v>0</v>
      </c>
      <c r="F60" s="167">
        <f t="shared" si="31"/>
        <v>0</v>
      </c>
      <c r="G60" s="167">
        <f t="shared" si="31"/>
        <v>0</v>
      </c>
      <c r="H60" s="167">
        <f t="shared" si="31"/>
        <v>0</v>
      </c>
      <c r="I60" s="194">
        <f t="shared" si="31"/>
        <v>0</v>
      </c>
      <c r="J60" s="167">
        <f t="shared" si="31"/>
        <v>0</v>
      </c>
      <c r="K60" s="167">
        <f t="shared" si="31"/>
        <v>0</v>
      </c>
      <c r="L60" s="167">
        <f t="shared" si="31"/>
        <v>0</v>
      </c>
      <c r="M60" s="167">
        <f t="shared" si="31"/>
        <v>0</v>
      </c>
      <c r="N60" s="167">
        <f t="shared" si="31"/>
        <v>0</v>
      </c>
      <c r="O60" s="167">
        <f aca="true" t="shared" si="32" ref="O60:O79">SUM(C60:N60)</f>
        <v>0</v>
      </c>
      <c r="P60" s="149"/>
      <c r="Q60" s="149"/>
    </row>
    <row r="61" spans="1:17" ht="14.25">
      <c r="A61" s="119"/>
      <c r="B61" s="116" t="s">
        <v>95</v>
      </c>
      <c r="C61" s="172">
        <v>223331</v>
      </c>
      <c r="D61" s="172">
        <v>63602</v>
      </c>
      <c r="E61" s="172">
        <v>82837</v>
      </c>
      <c r="F61" s="172">
        <v>0</v>
      </c>
      <c r="G61" s="172">
        <v>47</v>
      </c>
      <c r="H61" s="172">
        <v>0</v>
      </c>
      <c r="I61" s="195">
        <v>0</v>
      </c>
      <c r="J61" s="172">
        <v>0</v>
      </c>
      <c r="K61" s="172">
        <v>0</v>
      </c>
      <c r="L61" s="172">
        <v>1677</v>
      </c>
      <c r="M61" s="172">
        <v>1517</v>
      </c>
      <c r="N61" s="172">
        <v>0</v>
      </c>
      <c r="O61" s="167">
        <f t="shared" si="32"/>
        <v>373011</v>
      </c>
      <c r="P61" s="149"/>
      <c r="Q61" s="149"/>
    </row>
    <row r="62" spans="1:17" ht="14.25" customHeight="1">
      <c r="A62" s="119" t="s">
        <v>116</v>
      </c>
      <c r="B62" s="120" t="s">
        <v>115</v>
      </c>
      <c r="C62" s="166">
        <v>79755</v>
      </c>
      <c r="D62" s="166">
        <v>24572</v>
      </c>
      <c r="E62" s="166">
        <v>40794</v>
      </c>
      <c r="F62" s="166">
        <v>0</v>
      </c>
      <c r="G62" s="166">
        <v>5480</v>
      </c>
      <c r="H62" s="166">
        <v>0</v>
      </c>
      <c r="I62" s="193">
        <v>0</v>
      </c>
      <c r="J62" s="166">
        <v>0</v>
      </c>
      <c r="K62" s="166">
        <v>0</v>
      </c>
      <c r="L62" s="166">
        <v>0</v>
      </c>
      <c r="M62" s="166">
        <v>8318</v>
      </c>
      <c r="N62" s="166">
        <v>0</v>
      </c>
      <c r="O62" s="166">
        <f>SUM(C62:N62)</f>
        <v>158919</v>
      </c>
      <c r="P62" s="149"/>
      <c r="Q62" s="149"/>
    </row>
    <row r="63" spans="1:17" ht="14.25">
      <c r="A63" s="119"/>
      <c r="B63" s="113" t="s">
        <v>94</v>
      </c>
      <c r="C63" s="167">
        <f aca="true" t="shared" si="33" ref="C63:N63">(C64-C62)</f>
        <v>0</v>
      </c>
      <c r="D63" s="167">
        <f t="shared" si="33"/>
        <v>0</v>
      </c>
      <c r="E63" s="167">
        <f t="shared" si="33"/>
        <v>0</v>
      </c>
      <c r="F63" s="167">
        <f t="shared" si="33"/>
        <v>0</v>
      </c>
      <c r="G63" s="167">
        <f t="shared" si="33"/>
        <v>0</v>
      </c>
      <c r="H63" s="167">
        <f t="shared" si="33"/>
        <v>0</v>
      </c>
      <c r="I63" s="194">
        <f t="shared" si="33"/>
        <v>0</v>
      </c>
      <c r="J63" s="167">
        <f t="shared" si="33"/>
        <v>0</v>
      </c>
      <c r="K63" s="167">
        <f t="shared" si="33"/>
        <v>0</v>
      </c>
      <c r="L63" s="167">
        <f t="shared" si="33"/>
        <v>0</v>
      </c>
      <c r="M63" s="167">
        <f t="shared" si="33"/>
        <v>0</v>
      </c>
      <c r="N63" s="167">
        <f t="shared" si="33"/>
        <v>0</v>
      </c>
      <c r="O63" s="167">
        <f t="shared" si="32"/>
        <v>0</v>
      </c>
      <c r="P63" s="149"/>
      <c r="Q63" s="149"/>
    </row>
    <row r="64" spans="1:17" ht="14.25">
      <c r="A64" s="119"/>
      <c r="B64" s="116" t="s">
        <v>95</v>
      </c>
      <c r="C64" s="172">
        <v>79755</v>
      </c>
      <c r="D64" s="172">
        <v>24572</v>
      </c>
      <c r="E64" s="172">
        <v>40794</v>
      </c>
      <c r="F64" s="172">
        <v>0</v>
      </c>
      <c r="G64" s="172">
        <v>5480</v>
      </c>
      <c r="H64" s="172">
        <v>0</v>
      </c>
      <c r="I64" s="195">
        <v>0</v>
      </c>
      <c r="J64" s="172">
        <v>0</v>
      </c>
      <c r="K64" s="172">
        <v>0</v>
      </c>
      <c r="L64" s="172">
        <v>0</v>
      </c>
      <c r="M64" s="172">
        <v>8318</v>
      </c>
      <c r="N64" s="172">
        <v>0</v>
      </c>
      <c r="O64" s="172">
        <f t="shared" si="32"/>
        <v>158919</v>
      </c>
      <c r="P64" s="149"/>
      <c r="Q64" s="149"/>
    </row>
    <row r="65" spans="1:17" ht="14.25" customHeight="1">
      <c r="A65" s="119" t="s">
        <v>117</v>
      </c>
      <c r="B65" s="120" t="s">
        <v>115</v>
      </c>
      <c r="C65" s="167">
        <v>102330</v>
      </c>
      <c r="D65" s="167">
        <v>31637</v>
      </c>
      <c r="E65" s="167">
        <v>54280</v>
      </c>
      <c r="F65" s="167">
        <v>0</v>
      </c>
      <c r="G65" s="167">
        <v>35530</v>
      </c>
      <c r="H65" s="167">
        <v>0</v>
      </c>
      <c r="I65" s="194">
        <v>0</v>
      </c>
      <c r="J65" s="167">
        <v>0</v>
      </c>
      <c r="K65" s="167">
        <v>0</v>
      </c>
      <c r="L65" s="167">
        <v>1555</v>
      </c>
      <c r="M65" s="167">
        <v>9663</v>
      </c>
      <c r="N65" s="167">
        <v>0</v>
      </c>
      <c r="O65" s="167">
        <f>SUM(C65:N65)</f>
        <v>234995</v>
      </c>
      <c r="P65" s="149"/>
      <c r="Q65" s="149"/>
    </row>
    <row r="66" spans="1:17" ht="14.25">
      <c r="A66" s="119"/>
      <c r="B66" s="113" t="s">
        <v>94</v>
      </c>
      <c r="C66" s="167">
        <f>(C67-C65)</f>
        <v>0</v>
      </c>
      <c r="D66" s="167">
        <f aca="true" t="shared" si="34" ref="D66:N66">(D67-D65)</f>
        <v>0</v>
      </c>
      <c r="E66" s="167">
        <f t="shared" si="34"/>
        <v>0</v>
      </c>
      <c r="F66" s="167">
        <f t="shared" si="34"/>
        <v>0</v>
      </c>
      <c r="G66" s="167">
        <f t="shared" si="34"/>
        <v>0</v>
      </c>
      <c r="H66" s="167">
        <f t="shared" si="34"/>
        <v>0</v>
      </c>
      <c r="I66" s="194">
        <f t="shared" si="34"/>
        <v>0</v>
      </c>
      <c r="J66" s="167">
        <f t="shared" si="34"/>
        <v>0</v>
      </c>
      <c r="K66" s="167">
        <f t="shared" si="34"/>
        <v>0</v>
      </c>
      <c r="L66" s="167">
        <f t="shared" si="34"/>
        <v>0</v>
      </c>
      <c r="M66" s="167">
        <f t="shared" si="34"/>
        <v>0</v>
      </c>
      <c r="N66" s="167">
        <f t="shared" si="34"/>
        <v>0</v>
      </c>
      <c r="O66" s="167">
        <f t="shared" si="32"/>
        <v>0</v>
      </c>
      <c r="P66" s="149"/>
      <c r="Q66" s="149"/>
    </row>
    <row r="67" spans="1:17" ht="14.25">
      <c r="A67" s="119"/>
      <c r="B67" s="116" t="s">
        <v>95</v>
      </c>
      <c r="C67" s="167">
        <v>102330</v>
      </c>
      <c r="D67" s="167">
        <v>31637</v>
      </c>
      <c r="E67" s="167">
        <v>54280</v>
      </c>
      <c r="F67" s="167">
        <v>0</v>
      </c>
      <c r="G67" s="167">
        <v>35530</v>
      </c>
      <c r="H67" s="167">
        <v>0</v>
      </c>
      <c r="I67" s="194">
        <v>0</v>
      </c>
      <c r="J67" s="167">
        <v>0</v>
      </c>
      <c r="K67" s="167">
        <v>0</v>
      </c>
      <c r="L67" s="167">
        <v>1555</v>
      </c>
      <c r="M67" s="167">
        <v>9663</v>
      </c>
      <c r="N67" s="167">
        <v>0</v>
      </c>
      <c r="O67" s="167">
        <f t="shared" si="32"/>
        <v>234995</v>
      </c>
      <c r="P67" s="149"/>
      <c r="Q67" s="149"/>
    </row>
    <row r="68" spans="1:17" ht="14.25" customHeight="1">
      <c r="A68" s="119" t="s">
        <v>118</v>
      </c>
      <c r="B68" s="120" t="s">
        <v>115</v>
      </c>
      <c r="C68" s="166">
        <v>173671</v>
      </c>
      <c r="D68" s="166">
        <v>54807</v>
      </c>
      <c r="E68" s="166">
        <v>38631</v>
      </c>
      <c r="F68" s="166">
        <v>0</v>
      </c>
      <c r="G68" s="166">
        <v>2514</v>
      </c>
      <c r="H68" s="166">
        <v>691</v>
      </c>
      <c r="I68" s="193">
        <v>0</v>
      </c>
      <c r="J68" s="166">
        <v>0</v>
      </c>
      <c r="K68" s="166">
        <v>0</v>
      </c>
      <c r="L68" s="166">
        <v>509</v>
      </c>
      <c r="M68" s="166">
        <v>7375</v>
      </c>
      <c r="N68" s="166">
        <v>0</v>
      </c>
      <c r="O68" s="166">
        <f>SUM(C68:N68)</f>
        <v>278198</v>
      </c>
      <c r="P68" s="149"/>
      <c r="Q68" s="149"/>
    </row>
    <row r="69" spans="1:17" ht="14.25">
      <c r="A69" s="119"/>
      <c r="B69" s="113" t="s">
        <v>94</v>
      </c>
      <c r="C69" s="167">
        <f aca="true" t="shared" si="35" ref="C69:N69">(C70-C68)</f>
        <v>0</v>
      </c>
      <c r="D69" s="167">
        <f t="shared" si="35"/>
        <v>0</v>
      </c>
      <c r="E69" s="167">
        <f t="shared" si="35"/>
        <v>0</v>
      </c>
      <c r="F69" s="167">
        <f t="shared" si="35"/>
        <v>0</v>
      </c>
      <c r="G69" s="167">
        <f t="shared" si="35"/>
        <v>0</v>
      </c>
      <c r="H69" s="167">
        <f t="shared" si="35"/>
        <v>0</v>
      </c>
      <c r="I69" s="194">
        <f t="shared" si="35"/>
        <v>0</v>
      </c>
      <c r="J69" s="167">
        <f t="shared" si="35"/>
        <v>0</v>
      </c>
      <c r="K69" s="167">
        <f t="shared" si="35"/>
        <v>0</v>
      </c>
      <c r="L69" s="167">
        <f t="shared" si="35"/>
        <v>0</v>
      </c>
      <c r="M69" s="167">
        <f t="shared" si="35"/>
        <v>0</v>
      </c>
      <c r="N69" s="167">
        <f t="shared" si="35"/>
        <v>0</v>
      </c>
      <c r="O69" s="167">
        <f t="shared" si="32"/>
        <v>0</v>
      </c>
      <c r="P69" s="149"/>
      <c r="Q69" s="149"/>
    </row>
    <row r="70" spans="1:17" ht="14.25">
      <c r="A70" s="119"/>
      <c r="B70" s="116" t="s">
        <v>95</v>
      </c>
      <c r="C70" s="167">
        <v>173671</v>
      </c>
      <c r="D70" s="167">
        <v>54807</v>
      </c>
      <c r="E70" s="167">
        <v>38631</v>
      </c>
      <c r="F70" s="167">
        <v>0</v>
      </c>
      <c r="G70" s="167">
        <v>2514</v>
      </c>
      <c r="H70" s="167">
        <v>691</v>
      </c>
      <c r="I70" s="194">
        <v>0</v>
      </c>
      <c r="J70" s="167">
        <v>0</v>
      </c>
      <c r="K70" s="167">
        <v>0</v>
      </c>
      <c r="L70" s="167">
        <v>509</v>
      </c>
      <c r="M70" s="167">
        <v>7375</v>
      </c>
      <c r="N70" s="167">
        <v>0</v>
      </c>
      <c r="O70" s="172">
        <f t="shared" si="32"/>
        <v>278198</v>
      </c>
      <c r="P70" s="149"/>
      <c r="Q70" s="149"/>
    </row>
    <row r="71" spans="1:17" ht="14.25" customHeight="1">
      <c r="A71" s="119" t="s">
        <v>119</v>
      </c>
      <c r="B71" s="120" t="s">
        <v>115</v>
      </c>
      <c r="C71" s="166">
        <v>96730</v>
      </c>
      <c r="D71" s="166">
        <v>30196</v>
      </c>
      <c r="E71" s="166">
        <v>42535</v>
      </c>
      <c r="F71" s="166">
        <v>0</v>
      </c>
      <c r="G71" s="166">
        <v>5274</v>
      </c>
      <c r="H71" s="166">
        <v>0</v>
      </c>
      <c r="I71" s="193">
        <v>0</v>
      </c>
      <c r="J71" s="166">
        <v>0</v>
      </c>
      <c r="K71" s="166">
        <v>0</v>
      </c>
      <c r="L71" s="166">
        <v>1133</v>
      </c>
      <c r="M71" s="166">
        <v>9913</v>
      </c>
      <c r="N71" s="166">
        <v>0</v>
      </c>
      <c r="O71" s="167">
        <f>SUM(C71:N71)</f>
        <v>185781</v>
      </c>
      <c r="P71" s="149"/>
      <c r="Q71" s="149"/>
    </row>
    <row r="72" spans="1:17" ht="14.25">
      <c r="A72" s="119"/>
      <c r="B72" s="113" t="s">
        <v>94</v>
      </c>
      <c r="C72" s="167">
        <f aca="true" t="shared" si="36" ref="C72:N72">(C73-C71)</f>
        <v>0</v>
      </c>
      <c r="D72" s="167">
        <f t="shared" si="36"/>
        <v>0</v>
      </c>
      <c r="E72" s="167">
        <f t="shared" si="36"/>
        <v>0</v>
      </c>
      <c r="F72" s="167">
        <f t="shared" si="36"/>
        <v>0</v>
      </c>
      <c r="G72" s="167">
        <f t="shared" si="36"/>
        <v>0</v>
      </c>
      <c r="H72" s="167">
        <f t="shared" si="36"/>
        <v>0</v>
      </c>
      <c r="I72" s="194">
        <f t="shared" si="36"/>
        <v>0</v>
      </c>
      <c r="J72" s="167">
        <f t="shared" si="36"/>
        <v>0</v>
      </c>
      <c r="K72" s="167">
        <f t="shared" si="36"/>
        <v>0</v>
      </c>
      <c r="L72" s="167">
        <f t="shared" si="36"/>
        <v>0</v>
      </c>
      <c r="M72" s="167">
        <f t="shared" si="36"/>
        <v>0</v>
      </c>
      <c r="N72" s="167">
        <f t="shared" si="36"/>
        <v>0</v>
      </c>
      <c r="O72" s="167">
        <f t="shared" si="32"/>
        <v>0</v>
      </c>
      <c r="P72" s="149"/>
      <c r="Q72" s="149"/>
    </row>
    <row r="73" spans="1:17" ht="14.25">
      <c r="A73" s="119"/>
      <c r="B73" s="116" t="s">
        <v>95</v>
      </c>
      <c r="C73" s="172">
        <v>96730</v>
      </c>
      <c r="D73" s="172">
        <v>30196</v>
      </c>
      <c r="E73" s="172">
        <v>42535</v>
      </c>
      <c r="F73" s="172">
        <v>0</v>
      </c>
      <c r="G73" s="172">
        <v>5274</v>
      </c>
      <c r="H73" s="172">
        <v>0</v>
      </c>
      <c r="I73" s="195">
        <v>0</v>
      </c>
      <c r="J73" s="172">
        <v>0</v>
      </c>
      <c r="K73" s="172">
        <v>0</v>
      </c>
      <c r="L73" s="172">
        <v>1133</v>
      </c>
      <c r="M73" s="172">
        <v>9913</v>
      </c>
      <c r="N73" s="172">
        <v>0</v>
      </c>
      <c r="O73" s="172">
        <f t="shared" si="32"/>
        <v>185781</v>
      </c>
      <c r="P73" s="149"/>
      <c r="Q73" s="149"/>
    </row>
    <row r="74" spans="1:17" ht="14.25" customHeight="1">
      <c r="A74" s="119" t="s">
        <v>120</v>
      </c>
      <c r="B74" s="120" t="s">
        <v>115</v>
      </c>
      <c r="C74" s="167">
        <v>127181</v>
      </c>
      <c r="D74" s="167">
        <v>40083</v>
      </c>
      <c r="E74" s="167">
        <v>56718</v>
      </c>
      <c r="F74" s="167">
        <v>0</v>
      </c>
      <c r="G74" s="167">
        <v>16306</v>
      </c>
      <c r="H74" s="167">
        <v>0</v>
      </c>
      <c r="I74" s="194">
        <v>0</v>
      </c>
      <c r="J74" s="167">
        <v>0</v>
      </c>
      <c r="K74" s="167">
        <v>0</v>
      </c>
      <c r="L74" s="167">
        <v>0</v>
      </c>
      <c r="M74" s="167">
        <v>23649</v>
      </c>
      <c r="N74" s="167">
        <v>0</v>
      </c>
      <c r="O74" s="167">
        <f>SUM(C74:N74)</f>
        <v>263937</v>
      </c>
      <c r="P74" s="149"/>
      <c r="Q74" s="149"/>
    </row>
    <row r="75" spans="1:17" ht="14.25">
      <c r="A75" s="119"/>
      <c r="B75" s="113" t="s">
        <v>94</v>
      </c>
      <c r="C75" s="167">
        <f aca="true" t="shared" si="37" ref="C75:N75">(C76-C74)</f>
        <v>0</v>
      </c>
      <c r="D75" s="167">
        <f t="shared" si="37"/>
        <v>0</v>
      </c>
      <c r="E75" s="167">
        <f t="shared" si="37"/>
        <v>0</v>
      </c>
      <c r="F75" s="167">
        <f t="shared" si="37"/>
        <v>0</v>
      </c>
      <c r="G75" s="167">
        <f t="shared" si="37"/>
        <v>0</v>
      </c>
      <c r="H75" s="167">
        <f t="shared" si="37"/>
        <v>0</v>
      </c>
      <c r="I75" s="194">
        <f t="shared" si="37"/>
        <v>0</v>
      </c>
      <c r="J75" s="167">
        <f t="shared" si="37"/>
        <v>0</v>
      </c>
      <c r="K75" s="167">
        <f t="shared" si="37"/>
        <v>0</v>
      </c>
      <c r="L75" s="167">
        <f t="shared" si="37"/>
        <v>0</v>
      </c>
      <c r="M75" s="167">
        <f t="shared" si="37"/>
        <v>0</v>
      </c>
      <c r="N75" s="167">
        <f t="shared" si="37"/>
        <v>0</v>
      </c>
      <c r="O75" s="167">
        <f t="shared" si="32"/>
        <v>0</v>
      </c>
      <c r="P75" s="149"/>
      <c r="Q75" s="149"/>
    </row>
    <row r="76" spans="1:17" ht="14.25">
      <c r="A76" s="119"/>
      <c r="B76" s="113" t="s">
        <v>95</v>
      </c>
      <c r="C76" s="167">
        <v>127181</v>
      </c>
      <c r="D76" s="167">
        <v>40083</v>
      </c>
      <c r="E76" s="167">
        <v>56718</v>
      </c>
      <c r="F76" s="167">
        <v>0</v>
      </c>
      <c r="G76" s="167">
        <v>16306</v>
      </c>
      <c r="H76" s="167">
        <v>0</v>
      </c>
      <c r="I76" s="194">
        <v>0</v>
      </c>
      <c r="J76" s="167">
        <v>0</v>
      </c>
      <c r="K76" s="167">
        <v>0</v>
      </c>
      <c r="L76" s="167">
        <v>0</v>
      </c>
      <c r="M76" s="167">
        <v>23649</v>
      </c>
      <c r="N76" s="167">
        <v>0</v>
      </c>
      <c r="O76" s="167">
        <f t="shared" si="32"/>
        <v>263937</v>
      </c>
      <c r="P76" s="149"/>
      <c r="Q76" s="149"/>
    </row>
    <row r="77" spans="1:17" ht="14.25" customHeight="1">
      <c r="A77" s="158" t="s">
        <v>121</v>
      </c>
      <c r="B77" s="196" t="s">
        <v>115</v>
      </c>
      <c r="C77" s="166">
        <v>41289</v>
      </c>
      <c r="D77" s="166">
        <v>12709</v>
      </c>
      <c r="E77" s="166">
        <v>4765</v>
      </c>
      <c r="F77" s="166">
        <v>0</v>
      </c>
      <c r="G77" s="166">
        <v>3320</v>
      </c>
      <c r="H77" s="166">
        <v>0</v>
      </c>
      <c r="I77" s="166">
        <v>0</v>
      </c>
      <c r="J77" s="166">
        <v>0</v>
      </c>
      <c r="K77" s="166">
        <v>0</v>
      </c>
      <c r="L77" s="166">
        <v>34</v>
      </c>
      <c r="M77" s="166">
        <v>0</v>
      </c>
      <c r="N77" s="166">
        <v>0</v>
      </c>
      <c r="O77" s="166">
        <f>SUM(C77:N77)</f>
        <v>62117</v>
      </c>
      <c r="P77" s="149"/>
      <c r="Q77" s="149"/>
    </row>
    <row r="78" spans="1:17" ht="14.25">
      <c r="A78" s="158"/>
      <c r="B78" s="197" t="s">
        <v>94</v>
      </c>
      <c r="C78" s="167">
        <f aca="true" t="shared" si="38" ref="C78:N78">(C79-C77)</f>
        <v>0</v>
      </c>
      <c r="D78" s="167">
        <f t="shared" si="38"/>
        <v>0</v>
      </c>
      <c r="E78" s="167">
        <f t="shared" si="38"/>
        <v>0</v>
      </c>
      <c r="F78" s="167">
        <f t="shared" si="38"/>
        <v>0</v>
      </c>
      <c r="G78" s="167">
        <f t="shared" si="38"/>
        <v>0</v>
      </c>
      <c r="H78" s="167">
        <f t="shared" si="38"/>
        <v>0</v>
      </c>
      <c r="I78" s="167">
        <f t="shared" si="38"/>
        <v>0</v>
      </c>
      <c r="J78" s="167">
        <f t="shared" si="38"/>
        <v>0</v>
      </c>
      <c r="K78" s="167">
        <f t="shared" si="38"/>
        <v>0</v>
      </c>
      <c r="L78" s="167">
        <f t="shared" si="38"/>
        <v>0</v>
      </c>
      <c r="M78" s="167">
        <f t="shared" si="38"/>
        <v>0</v>
      </c>
      <c r="N78" s="167">
        <f t="shared" si="38"/>
        <v>0</v>
      </c>
      <c r="O78" s="167">
        <f t="shared" si="32"/>
        <v>0</v>
      </c>
      <c r="P78" s="149"/>
      <c r="Q78" s="149"/>
    </row>
    <row r="79" spans="1:17" ht="14.25">
      <c r="A79" s="158"/>
      <c r="B79" s="198" t="s">
        <v>95</v>
      </c>
      <c r="C79" s="172">
        <v>41289</v>
      </c>
      <c r="D79" s="172">
        <v>12709</v>
      </c>
      <c r="E79" s="172">
        <v>4765</v>
      </c>
      <c r="F79" s="172">
        <v>0</v>
      </c>
      <c r="G79" s="172">
        <v>3320</v>
      </c>
      <c r="H79" s="172">
        <v>0</v>
      </c>
      <c r="I79" s="172">
        <v>0</v>
      </c>
      <c r="J79" s="172">
        <v>0</v>
      </c>
      <c r="K79" s="172">
        <v>0</v>
      </c>
      <c r="L79" s="172">
        <v>34</v>
      </c>
      <c r="M79" s="172">
        <v>0</v>
      </c>
      <c r="N79" s="172">
        <v>0</v>
      </c>
      <c r="O79" s="172">
        <f t="shared" si="32"/>
        <v>62117</v>
      </c>
      <c r="P79" s="149"/>
      <c r="Q79" s="149"/>
    </row>
    <row r="80" spans="1:17" ht="14.25" customHeight="1">
      <c r="A80" s="125" t="s">
        <v>155</v>
      </c>
      <c r="B80" s="163" t="s">
        <v>115</v>
      </c>
      <c r="C80" s="173">
        <f>SUM(C59+C62+C65+C68+C71+C74+C77)</f>
        <v>844287</v>
      </c>
      <c r="D80" s="173">
        <f>SUM(D59+D62+D65+D68+D71+D74+D77)</f>
        <v>257606</v>
      </c>
      <c r="E80" s="173">
        <f>SUM(E59+E62+E65+E68+E71+E74+E77)</f>
        <v>320560</v>
      </c>
      <c r="F80" s="173">
        <f aca="true" t="shared" si="39" ref="F80:O80">SUM(F59+F62+F65+F68+F71+F74+F77)</f>
        <v>0</v>
      </c>
      <c r="G80" s="173">
        <f t="shared" si="39"/>
        <v>68471</v>
      </c>
      <c r="H80" s="173">
        <f t="shared" si="39"/>
        <v>691</v>
      </c>
      <c r="I80" s="173">
        <f t="shared" si="39"/>
        <v>0</v>
      </c>
      <c r="J80" s="173">
        <f t="shared" si="39"/>
        <v>0</v>
      </c>
      <c r="K80" s="173">
        <f t="shared" si="39"/>
        <v>0</v>
      </c>
      <c r="L80" s="173">
        <f t="shared" si="39"/>
        <v>4908</v>
      </c>
      <c r="M80" s="173">
        <f t="shared" si="39"/>
        <v>60435</v>
      </c>
      <c r="N80" s="173">
        <f t="shared" si="39"/>
        <v>0</v>
      </c>
      <c r="O80" s="173">
        <f t="shared" si="39"/>
        <v>1556958</v>
      </c>
      <c r="P80" s="149"/>
      <c r="Q80" s="149"/>
    </row>
    <row r="81" spans="1:17" ht="14.25">
      <c r="A81" s="125"/>
      <c r="B81" s="152" t="s">
        <v>94</v>
      </c>
      <c r="C81" s="175">
        <f aca="true" t="shared" si="40" ref="C81:N81">(C82-C80)</f>
        <v>0</v>
      </c>
      <c r="D81" s="175">
        <f t="shared" si="40"/>
        <v>0</v>
      </c>
      <c r="E81" s="175">
        <f t="shared" si="40"/>
        <v>0</v>
      </c>
      <c r="F81" s="175">
        <f t="shared" si="40"/>
        <v>0</v>
      </c>
      <c r="G81" s="175">
        <f t="shared" si="40"/>
        <v>0</v>
      </c>
      <c r="H81" s="175">
        <f t="shared" si="40"/>
        <v>0</v>
      </c>
      <c r="I81" s="175">
        <f t="shared" si="40"/>
        <v>0</v>
      </c>
      <c r="J81" s="175">
        <f t="shared" si="40"/>
        <v>0</v>
      </c>
      <c r="K81" s="175">
        <f t="shared" si="40"/>
        <v>0</v>
      </c>
      <c r="L81" s="175">
        <f t="shared" si="40"/>
        <v>0</v>
      </c>
      <c r="M81" s="175">
        <f t="shared" si="40"/>
        <v>0</v>
      </c>
      <c r="N81" s="175">
        <f t="shared" si="40"/>
        <v>0</v>
      </c>
      <c r="O81" s="177">
        <f aca="true" t="shared" si="41" ref="O81:O88">SUM(C81:N81)</f>
        <v>0</v>
      </c>
      <c r="P81" s="149"/>
      <c r="Q81" s="149"/>
    </row>
    <row r="82" spans="1:17" ht="14.25">
      <c r="A82" s="125"/>
      <c r="B82" s="152" t="s">
        <v>95</v>
      </c>
      <c r="C82" s="177">
        <f>SUM(C61+C64+C67+C70+C73+C76+C79)</f>
        <v>844287</v>
      </c>
      <c r="D82" s="177">
        <f aca="true" t="shared" si="42" ref="D82:N82">SUM(D61+D64+D67+D70+D73+D76+D79)</f>
        <v>257606</v>
      </c>
      <c r="E82" s="177">
        <f t="shared" si="42"/>
        <v>320560</v>
      </c>
      <c r="F82" s="177">
        <f t="shared" si="42"/>
        <v>0</v>
      </c>
      <c r="G82" s="177">
        <f t="shared" si="42"/>
        <v>68471</v>
      </c>
      <c r="H82" s="177">
        <f t="shared" si="42"/>
        <v>691</v>
      </c>
      <c r="I82" s="177">
        <f t="shared" si="42"/>
        <v>0</v>
      </c>
      <c r="J82" s="177">
        <f t="shared" si="42"/>
        <v>0</v>
      </c>
      <c r="K82" s="177">
        <f t="shared" si="42"/>
        <v>0</v>
      </c>
      <c r="L82" s="177">
        <f t="shared" si="42"/>
        <v>4908</v>
      </c>
      <c r="M82" s="177">
        <f t="shared" si="42"/>
        <v>60435</v>
      </c>
      <c r="N82" s="177">
        <f t="shared" si="42"/>
        <v>0</v>
      </c>
      <c r="O82" s="173">
        <f t="shared" si="41"/>
        <v>1556958</v>
      </c>
      <c r="P82" s="149"/>
      <c r="Q82" s="149"/>
    </row>
    <row r="83" spans="1:17" ht="14.25" customHeight="1">
      <c r="A83" s="125" t="s">
        <v>123</v>
      </c>
      <c r="B83" s="152" t="s">
        <v>93</v>
      </c>
      <c r="C83" s="188">
        <v>461175</v>
      </c>
      <c r="D83" s="188">
        <v>152133</v>
      </c>
      <c r="E83" s="188">
        <v>106750</v>
      </c>
      <c r="F83" s="188"/>
      <c r="G83" s="188"/>
      <c r="H83" s="188"/>
      <c r="I83" s="188">
        <v>96</v>
      </c>
      <c r="J83" s="188">
        <v>0</v>
      </c>
      <c r="K83" s="188">
        <v>0</v>
      </c>
      <c r="L83" s="188">
        <v>8441</v>
      </c>
      <c r="M83" s="188">
        <v>105875</v>
      </c>
      <c r="N83" s="188">
        <v>196</v>
      </c>
      <c r="O83" s="175">
        <f t="shared" si="41"/>
        <v>834666</v>
      </c>
      <c r="P83" s="149"/>
      <c r="Q83" s="149"/>
    </row>
    <row r="84" spans="1:17" ht="14.25">
      <c r="A84" s="125"/>
      <c r="B84" s="150" t="s">
        <v>94</v>
      </c>
      <c r="C84" s="188">
        <f>C85-C83</f>
        <v>12823</v>
      </c>
      <c r="D84" s="188">
        <f aca="true" t="shared" si="43" ref="D84:N84">D85-D83</f>
        <v>4015</v>
      </c>
      <c r="E84" s="188">
        <f t="shared" si="43"/>
        <v>13672</v>
      </c>
      <c r="F84" s="188">
        <f t="shared" si="43"/>
        <v>0</v>
      </c>
      <c r="G84" s="188">
        <f t="shared" si="43"/>
        <v>0</v>
      </c>
      <c r="H84" s="188">
        <f t="shared" si="43"/>
        <v>0</v>
      </c>
      <c r="I84" s="188">
        <f t="shared" si="43"/>
        <v>0</v>
      </c>
      <c r="J84" s="188">
        <f t="shared" si="43"/>
        <v>0</v>
      </c>
      <c r="K84" s="188">
        <f t="shared" si="43"/>
        <v>0</v>
      </c>
      <c r="L84" s="188">
        <f t="shared" si="43"/>
        <v>1294</v>
      </c>
      <c r="M84" s="188">
        <f t="shared" si="43"/>
        <v>740</v>
      </c>
      <c r="N84" s="188">
        <f t="shared" si="43"/>
        <v>0</v>
      </c>
      <c r="O84" s="177">
        <f t="shared" si="41"/>
        <v>32544</v>
      </c>
      <c r="P84" s="149"/>
      <c r="Q84" s="149"/>
    </row>
    <row r="85" spans="1:17" ht="14.25">
      <c r="A85" s="125"/>
      <c r="B85" s="150" t="s">
        <v>152</v>
      </c>
      <c r="C85" s="199">
        <v>473998</v>
      </c>
      <c r="D85" s="199">
        <v>156148</v>
      </c>
      <c r="E85" s="188">
        <v>120422</v>
      </c>
      <c r="F85" s="188">
        <v>0</v>
      </c>
      <c r="G85" s="188">
        <v>0</v>
      </c>
      <c r="H85" s="188">
        <v>0</v>
      </c>
      <c r="I85" s="188">
        <v>96</v>
      </c>
      <c r="J85" s="188">
        <v>0</v>
      </c>
      <c r="K85" s="188">
        <v>0</v>
      </c>
      <c r="L85" s="188">
        <v>9735</v>
      </c>
      <c r="M85" s="188">
        <v>106615</v>
      </c>
      <c r="N85" s="188">
        <v>196</v>
      </c>
      <c r="O85" s="177">
        <f t="shared" si="41"/>
        <v>867210</v>
      </c>
      <c r="P85" s="149"/>
      <c r="Q85" s="149"/>
    </row>
    <row r="86" spans="1:17" ht="14.25" customHeight="1">
      <c r="A86" s="125" t="s">
        <v>124</v>
      </c>
      <c r="B86" s="152" t="s">
        <v>93</v>
      </c>
      <c r="C86" s="188">
        <v>416437</v>
      </c>
      <c r="D86" s="188">
        <v>133478</v>
      </c>
      <c r="E86" s="188">
        <v>56735</v>
      </c>
      <c r="F86" s="188">
        <v>0</v>
      </c>
      <c r="G86" s="188">
        <v>0</v>
      </c>
      <c r="H86" s="188">
        <v>0</v>
      </c>
      <c r="I86" s="188">
        <v>0</v>
      </c>
      <c r="J86" s="188">
        <v>0</v>
      </c>
      <c r="K86" s="188">
        <v>0</v>
      </c>
      <c r="L86" s="188">
        <v>3278</v>
      </c>
      <c r="M86" s="188">
        <v>8486</v>
      </c>
      <c r="N86" s="188">
        <v>0</v>
      </c>
      <c r="O86" s="175">
        <f t="shared" si="41"/>
        <v>618414</v>
      </c>
      <c r="P86" s="149"/>
      <c r="Q86" s="149"/>
    </row>
    <row r="87" spans="1:17" ht="14.25">
      <c r="A87" s="125"/>
      <c r="B87" s="150" t="s">
        <v>94</v>
      </c>
      <c r="C87" s="188">
        <f aca="true" t="shared" si="44" ref="C87:N87">C88-C86</f>
        <v>-18279</v>
      </c>
      <c r="D87" s="188">
        <f t="shared" si="44"/>
        <v>-7913</v>
      </c>
      <c r="E87" s="188">
        <f t="shared" si="44"/>
        <v>63849</v>
      </c>
      <c r="F87" s="188">
        <f t="shared" si="44"/>
        <v>0</v>
      </c>
      <c r="G87" s="188">
        <f t="shared" si="44"/>
        <v>0</v>
      </c>
      <c r="H87" s="188">
        <f t="shared" si="44"/>
        <v>0</v>
      </c>
      <c r="I87" s="188">
        <f t="shared" si="44"/>
        <v>0</v>
      </c>
      <c r="J87" s="188">
        <f t="shared" si="44"/>
        <v>0</v>
      </c>
      <c r="K87" s="188">
        <f t="shared" si="44"/>
        <v>0</v>
      </c>
      <c r="L87" s="188">
        <f t="shared" si="44"/>
        <v>2758</v>
      </c>
      <c r="M87" s="188">
        <f t="shared" si="44"/>
        <v>18155</v>
      </c>
      <c r="N87" s="188">
        <f t="shared" si="44"/>
        <v>0</v>
      </c>
      <c r="O87" s="177">
        <f t="shared" si="41"/>
        <v>58570</v>
      </c>
      <c r="P87" s="149"/>
      <c r="Q87" s="149"/>
    </row>
    <row r="88" spans="1:17" ht="14.25">
      <c r="A88" s="125"/>
      <c r="B88" s="150" t="s">
        <v>95</v>
      </c>
      <c r="C88" s="199">
        <v>398158</v>
      </c>
      <c r="D88" s="199">
        <v>125565</v>
      </c>
      <c r="E88" s="188">
        <v>120584</v>
      </c>
      <c r="F88" s="188">
        <v>0</v>
      </c>
      <c r="G88" s="188">
        <v>0</v>
      </c>
      <c r="H88" s="188">
        <v>0</v>
      </c>
      <c r="I88" s="188"/>
      <c r="J88" s="188">
        <v>0</v>
      </c>
      <c r="K88" s="188">
        <v>0</v>
      </c>
      <c r="L88" s="188">
        <v>6036</v>
      </c>
      <c r="M88" s="188">
        <v>26641</v>
      </c>
      <c r="N88" s="188">
        <v>0</v>
      </c>
      <c r="O88" s="177">
        <f t="shared" si="41"/>
        <v>676984</v>
      </c>
      <c r="P88" s="149"/>
      <c r="Q88" s="149"/>
    </row>
    <row r="89" spans="1:17" ht="15" customHeight="1">
      <c r="A89" s="125" t="s">
        <v>125</v>
      </c>
      <c r="B89" s="150" t="s">
        <v>93</v>
      </c>
      <c r="C89" s="199">
        <f aca="true" t="shared" si="45" ref="C89:O91">SUM(C23,C26,C29,C38,C41,C56,C80,C83,C86)</f>
        <v>5493600</v>
      </c>
      <c r="D89" s="199">
        <f t="shared" si="45"/>
        <v>1735985</v>
      </c>
      <c r="E89" s="199">
        <f t="shared" si="45"/>
        <v>2195109</v>
      </c>
      <c r="F89" s="199">
        <f t="shared" si="45"/>
        <v>0</v>
      </c>
      <c r="G89" s="199">
        <f t="shared" si="45"/>
        <v>109239</v>
      </c>
      <c r="H89" s="199">
        <f t="shared" si="45"/>
        <v>1763</v>
      </c>
      <c r="I89" s="199">
        <f t="shared" si="45"/>
        <v>114</v>
      </c>
      <c r="J89" s="199">
        <f t="shared" si="45"/>
        <v>0</v>
      </c>
      <c r="K89" s="199">
        <f t="shared" si="45"/>
        <v>0</v>
      </c>
      <c r="L89" s="199">
        <f t="shared" si="45"/>
        <v>65032</v>
      </c>
      <c r="M89" s="199">
        <f t="shared" si="45"/>
        <v>200477</v>
      </c>
      <c r="N89" s="199">
        <f t="shared" si="45"/>
        <v>7121</v>
      </c>
      <c r="O89" s="199">
        <f t="shared" si="45"/>
        <v>9808440</v>
      </c>
      <c r="P89" s="149"/>
      <c r="Q89" s="149"/>
    </row>
    <row r="90" spans="1:17" ht="15" customHeight="1">
      <c r="A90" s="125"/>
      <c r="B90" s="150" t="s">
        <v>94</v>
      </c>
      <c r="C90" s="199">
        <f>SUM(C24,C27,C30,C39,C42,C57,C81,C84,C87)</f>
        <v>33008</v>
      </c>
      <c r="D90" s="199">
        <f t="shared" si="45"/>
        <v>8918</v>
      </c>
      <c r="E90" s="199">
        <f t="shared" si="45"/>
        <v>71526</v>
      </c>
      <c r="F90" s="199">
        <f t="shared" si="45"/>
        <v>0</v>
      </c>
      <c r="G90" s="199">
        <f t="shared" si="45"/>
        <v>0</v>
      </c>
      <c r="H90" s="199">
        <f t="shared" si="45"/>
        <v>-54</v>
      </c>
      <c r="I90" s="199">
        <f t="shared" si="45"/>
        <v>-18</v>
      </c>
      <c r="J90" s="199">
        <f t="shared" si="45"/>
        <v>0</v>
      </c>
      <c r="K90" s="199">
        <f t="shared" si="45"/>
        <v>0</v>
      </c>
      <c r="L90" s="199">
        <f t="shared" si="45"/>
        <v>2591</v>
      </c>
      <c r="M90" s="199">
        <f t="shared" si="45"/>
        <v>42343</v>
      </c>
      <c r="N90" s="199">
        <f t="shared" si="45"/>
        <v>0</v>
      </c>
      <c r="O90" s="199">
        <f t="shared" si="45"/>
        <v>158314</v>
      </c>
      <c r="P90" s="149"/>
      <c r="Q90" s="149"/>
    </row>
    <row r="91" spans="1:17" ht="15" customHeight="1">
      <c r="A91" s="125"/>
      <c r="B91" s="150" t="s">
        <v>95</v>
      </c>
      <c r="C91" s="199">
        <f>SUM(C25,C28,C31,C40,C43,C58,C82,C85,C88)</f>
        <v>5526608</v>
      </c>
      <c r="D91" s="199">
        <f t="shared" si="45"/>
        <v>1744903</v>
      </c>
      <c r="E91" s="199">
        <f t="shared" si="45"/>
        <v>2266635</v>
      </c>
      <c r="F91" s="199">
        <f t="shared" si="45"/>
        <v>0</v>
      </c>
      <c r="G91" s="199">
        <f t="shared" si="45"/>
        <v>109239</v>
      </c>
      <c r="H91" s="199">
        <f t="shared" si="45"/>
        <v>1709</v>
      </c>
      <c r="I91" s="199">
        <f t="shared" si="45"/>
        <v>96</v>
      </c>
      <c r="J91" s="199">
        <f t="shared" si="45"/>
        <v>0</v>
      </c>
      <c r="K91" s="199">
        <f t="shared" si="45"/>
        <v>0</v>
      </c>
      <c r="L91" s="199">
        <f t="shared" si="45"/>
        <v>67623</v>
      </c>
      <c r="M91" s="199">
        <f t="shared" si="45"/>
        <v>242820</v>
      </c>
      <c r="N91" s="199">
        <f t="shared" si="45"/>
        <v>7121</v>
      </c>
      <c r="O91" s="200">
        <f t="shared" si="45"/>
        <v>9966754</v>
      </c>
      <c r="P91" s="149"/>
      <c r="Q91" s="149"/>
    </row>
    <row r="92" spans="1:17" ht="14.25" customHeight="1">
      <c r="A92" s="119" t="s">
        <v>126</v>
      </c>
      <c r="B92" s="196" t="s">
        <v>93</v>
      </c>
      <c r="C92" s="166">
        <v>136511</v>
      </c>
      <c r="D92" s="166">
        <v>43825</v>
      </c>
      <c r="E92" s="166">
        <v>152487</v>
      </c>
      <c r="F92" s="166">
        <v>0</v>
      </c>
      <c r="G92" s="166">
        <v>9360</v>
      </c>
      <c r="H92" s="166">
        <v>0</v>
      </c>
      <c r="I92" s="166">
        <v>0</v>
      </c>
      <c r="J92" s="166">
        <v>0</v>
      </c>
      <c r="K92" s="166">
        <v>0</v>
      </c>
      <c r="L92" s="166">
        <v>0</v>
      </c>
      <c r="M92" s="166">
        <v>0</v>
      </c>
      <c r="N92" s="166">
        <v>0</v>
      </c>
      <c r="O92" s="167">
        <f>SUM(C92:N92)</f>
        <v>342183</v>
      </c>
      <c r="P92" s="149"/>
      <c r="Q92" s="149"/>
    </row>
    <row r="93" spans="1:17" ht="14.25">
      <c r="A93" s="119"/>
      <c r="B93" s="197" t="s">
        <v>94</v>
      </c>
      <c r="C93" s="167">
        <f aca="true" t="shared" si="46" ref="C93:N93">(C94-C92)</f>
        <v>-312</v>
      </c>
      <c r="D93" s="167">
        <f t="shared" si="46"/>
        <v>-901</v>
      </c>
      <c r="E93" s="167">
        <f t="shared" si="46"/>
        <v>13249</v>
      </c>
      <c r="F93" s="167">
        <f t="shared" si="46"/>
        <v>0</v>
      </c>
      <c r="G93" s="167">
        <f t="shared" si="46"/>
        <v>0</v>
      </c>
      <c r="H93" s="167">
        <f t="shared" si="46"/>
        <v>0</v>
      </c>
      <c r="I93" s="167">
        <f t="shared" si="46"/>
        <v>0</v>
      </c>
      <c r="J93" s="167">
        <f t="shared" si="46"/>
        <v>0</v>
      </c>
      <c r="K93" s="167">
        <f t="shared" si="46"/>
        <v>0</v>
      </c>
      <c r="L93" s="167">
        <f t="shared" si="46"/>
        <v>0</v>
      </c>
      <c r="M93" s="167">
        <f t="shared" si="46"/>
        <v>415</v>
      </c>
      <c r="N93" s="167">
        <f t="shared" si="46"/>
        <v>0</v>
      </c>
      <c r="O93" s="167">
        <f aca="true" t="shared" si="47" ref="O93:O103">SUM(C93:N93)</f>
        <v>12451</v>
      </c>
      <c r="P93" s="149"/>
      <c r="Q93" s="149"/>
    </row>
    <row r="94" spans="1:17" ht="14.25">
      <c r="A94" s="119"/>
      <c r="B94" s="198" t="s">
        <v>95</v>
      </c>
      <c r="C94" s="172">
        <v>136199</v>
      </c>
      <c r="D94" s="172">
        <v>42924</v>
      </c>
      <c r="E94" s="172">
        <v>165736</v>
      </c>
      <c r="F94" s="172">
        <v>0</v>
      </c>
      <c r="G94" s="172">
        <v>9360</v>
      </c>
      <c r="H94" s="172">
        <v>0</v>
      </c>
      <c r="I94" s="172">
        <v>0</v>
      </c>
      <c r="J94" s="172">
        <v>0</v>
      </c>
      <c r="K94" s="172">
        <v>0</v>
      </c>
      <c r="L94" s="172">
        <v>0</v>
      </c>
      <c r="M94" s="172">
        <v>415</v>
      </c>
      <c r="N94" s="172">
        <v>0</v>
      </c>
      <c r="O94" s="172">
        <f t="shared" si="47"/>
        <v>354634</v>
      </c>
      <c r="P94" s="149"/>
      <c r="Q94" s="149"/>
    </row>
    <row r="95" spans="1:17" ht="14.25" customHeight="1">
      <c r="A95" s="119" t="s">
        <v>127</v>
      </c>
      <c r="B95" s="196" t="s">
        <v>93</v>
      </c>
      <c r="C95" s="166">
        <v>15463</v>
      </c>
      <c r="D95" s="166">
        <v>4852</v>
      </c>
      <c r="E95" s="166">
        <v>9952</v>
      </c>
      <c r="F95" s="166">
        <v>0</v>
      </c>
      <c r="G95" s="166">
        <v>376</v>
      </c>
      <c r="H95" s="166">
        <v>0</v>
      </c>
      <c r="I95" s="166">
        <v>0</v>
      </c>
      <c r="J95" s="166">
        <v>0</v>
      </c>
      <c r="K95" s="166">
        <v>0</v>
      </c>
      <c r="L95" s="166">
        <v>0</v>
      </c>
      <c r="M95" s="166">
        <v>200</v>
      </c>
      <c r="N95" s="166">
        <v>0</v>
      </c>
      <c r="O95" s="166">
        <f>SUM(C95:N95)</f>
        <v>30843</v>
      </c>
      <c r="P95" s="149"/>
      <c r="Q95" s="149"/>
    </row>
    <row r="96" spans="1:17" ht="14.25">
      <c r="A96" s="119"/>
      <c r="B96" s="197" t="s">
        <v>94</v>
      </c>
      <c r="C96" s="167">
        <f aca="true" t="shared" si="48" ref="C96:N96">(C97-C95)</f>
        <v>-60</v>
      </c>
      <c r="D96" s="167">
        <f t="shared" si="48"/>
        <v>-83</v>
      </c>
      <c r="E96" s="167">
        <f t="shared" si="48"/>
        <v>806</v>
      </c>
      <c r="F96" s="167">
        <f t="shared" si="48"/>
        <v>0</v>
      </c>
      <c r="G96" s="167">
        <f t="shared" si="48"/>
        <v>0</v>
      </c>
      <c r="H96" s="167">
        <f t="shared" si="48"/>
        <v>0</v>
      </c>
      <c r="I96" s="167">
        <f t="shared" si="48"/>
        <v>0</v>
      </c>
      <c r="J96" s="167">
        <f t="shared" si="48"/>
        <v>0</v>
      </c>
      <c r="K96" s="167">
        <f t="shared" si="48"/>
        <v>0</v>
      </c>
      <c r="L96" s="167">
        <f t="shared" si="48"/>
        <v>0</v>
      </c>
      <c r="M96" s="167">
        <f t="shared" si="48"/>
        <v>0</v>
      </c>
      <c r="N96" s="167">
        <f t="shared" si="48"/>
        <v>0</v>
      </c>
      <c r="O96" s="167">
        <f t="shared" si="47"/>
        <v>663</v>
      </c>
      <c r="P96" s="149"/>
      <c r="Q96" s="149"/>
    </row>
    <row r="97" spans="1:17" s="201" customFormat="1" ht="13.5">
      <c r="A97" s="119"/>
      <c r="B97" s="198" t="s">
        <v>95</v>
      </c>
      <c r="C97" s="172">
        <v>15403</v>
      </c>
      <c r="D97" s="172">
        <v>4769</v>
      </c>
      <c r="E97" s="172">
        <v>10758</v>
      </c>
      <c r="F97" s="172">
        <v>0</v>
      </c>
      <c r="G97" s="172">
        <v>376</v>
      </c>
      <c r="H97" s="172">
        <v>0</v>
      </c>
      <c r="I97" s="172">
        <v>0</v>
      </c>
      <c r="J97" s="172">
        <v>0</v>
      </c>
      <c r="K97" s="172">
        <v>0</v>
      </c>
      <c r="L97" s="172">
        <v>0</v>
      </c>
      <c r="M97" s="172">
        <v>200</v>
      </c>
      <c r="N97" s="172">
        <v>0</v>
      </c>
      <c r="O97" s="172">
        <f t="shared" si="47"/>
        <v>31506</v>
      </c>
      <c r="P97" s="149"/>
      <c r="Q97" s="149"/>
    </row>
    <row r="98" spans="1:17" ht="14.25" customHeight="1">
      <c r="A98" s="119" t="s">
        <v>128</v>
      </c>
      <c r="B98" s="196" t="s">
        <v>93</v>
      </c>
      <c r="C98" s="166">
        <v>12692</v>
      </c>
      <c r="D98" s="166">
        <v>3990</v>
      </c>
      <c r="E98" s="166">
        <v>10205</v>
      </c>
      <c r="F98" s="166">
        <v>0</v>
      </c>
      <c r="G98" s="166">
        <v>117</v>
      </c>
      <c r="H98" s="166">
        <v>0</v>
      </c>
      <c r="I98" s="166">
        <v>0</v>
      </c>
      <c r="J98" s="166">
        <v>0</v>
      </c>
      <c r="K98" s="166">
        <v>0</v>
      </c>
      <c r="L98" s="166">
        <v>0</v>
      </c>
      <c r="M98" s="166">
        <v>587</v>
      </c>
      <c r="N98" s="166">
        <v>0</v>
      </c>
      <c r="O98" s="166">
        <f>SUM(C98:N98)</f>
        <v>27591</v>
      </c>
      <c r="P98" s="149"/>
      <c r="Q98" s="149"/>
    </row>
    <row r="99" spans="1:17" ht="14.25">
      <c r="A99" s="119"/>
      <c r="B99" s="197" t="s">
        <v>94</v>
      </c>
      <c r="C99" s="167">
        <f aca="true" t="shared" si="49" ref="C99:N99">(C100-C98)</f>
        <v>389</v>
      </c>
      <c r="D99" s="167">
        <f t="shared" si="49"/>
        <v>-16</v>
      </c>
      <c r="E99" s="167">
        <f t="shared" si="49"/>
        <v>1715</v>
      </c>
      <c r="F99" s="167">
        <f t="shared" si="49"/>
        <v>0</v>
      </c>
      <c r="G99" s="167">
        <f t="shared" si="49"/>
        <v>0</v>
      </c>
      <c r="H99" s="167">
        <f t="shared" si="49"/>
        <v>0</v>
      </c>
      <c r="I99" s="167">
        <f t="shared" si="49"/>
        <v>0</v>
      </c>
      <c r="J99" s="167">
        <f t="shared" si="49"/>
        <v>0</v>
      </c>
      <c r="K99" s="167">
        <f t="shared" si="49"/>
        <v>0</v>
      </c>
      <c r="L99" s="167">
        <f t="shared" si="49"/>
        <v>0</v>
      </c>
      <c r="M99" s="167">
        <f t="shared" si="49"/>
        <v>35</v>
      </c>
      <c r="N99" s="167">
        <f t="shared" si="49"/>
        <v>0</v>
      </c>
      <c r="O99" s="167">
        <f t="shared" si="47"/>
        <v>2123</v>
      </c>
      <c r="P99" s="149"/>
      <c r="Q99" s="149"/>
    </row>
    <row r="100" spans="1:17" s="201" customFormat="1" ht="13.5">
      <c r="A100" s="119"/>
      <c r="B100" s="198" t="s">
        <v>152</v>
      </c>
      <c r="C100" s="172">
        <v>13081</v>
      </c>
      <c r="D100" s="172">
        <v>3974</v>
      </c>
      <c r="E100" s="172">
        <v>11920</v>
      </c>
      <c r="F100" s="172">
        <v>0</v>
      </c>
      <c r="G100" s="172">
        <v>117</v>
      </c>
      <c r="H100" s="172">
        <v>0</v>
      </c>
      <c r="I100" s="172">
        <v>0</v>
      </c>
      <c r="J100" s="172">
        <v>0</v>
      </c>
      <c r="K100" s="172">
        <v>0</v>
      </c>
      <c r="L100" s="172">
        <v>0</v>
      </c>
      <c r="M100" s="172">
        <v>622</v>
      </c>
      <c r="N100" s="172">
        <v>0</v>
      </c>
      <c r="O100" s="172">
        <f t="shared" si="47"/>
        <v>29714</v>
      </c>
      <c r="P100" s="149"/>
      <c r="Q100" s="149"/>
    </row>
    <row r="101" spans="1:17" ht="14.25">
      <c r="A101" s="136" t="s">
        <v>129</v>
      </c>
      <c r="B101" s="196" t="s">
        <v>93</v>
      </c>
      <c r="C101" s="166">
        <v>9654</v>
      </c>
      <c r="D101" s="166">
        <v>3085</v>
      </c>
      <c r="E101" s="166">
        <v>3840</v>
      </c>
      <c r="F101" s="166">
        <v>0</v>
      </c>
      <c r="G101" s="166">
        <v>1185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>
        <v>0</v>
      </c>
      <c r="O101" s="166">
        <f>SUM(C101:N101)</f>
        <v>17764</v>
      </c>
      <c r="P101" s="149"/>
      <c r="Q101" s="149"/>
    </row>
    <row r="102" spans="1:17" ht="14.25">
      <c r="A102" s="136"/>
      <c r="B102" s="197" t="s">
        <v>94</v>
      </c>
      <c r="C102" s="167">
        <f aca="true" t="shared" si="50" ref="C102:N102">(C103-C101)</f>
        <v>60</v>
      </c>
      <c r="D102" s="167">
        <f t="shared" si="50"/>
        <v>-7</v>
      </c>
      <c r="E102" s="167">
        <f t="shared" si="50"/>
        <v>56</v>
      </c>
      <c r="F102" s="167">
        <f t="shared" si="50"/>
        <v>0</v>
      </c>
      <c r="G102" s="167">
        <f t="shared" si="50"/>
        <v>0</v>
      </c>
      <c r="H102" s="167">
        <f t="shared" si="50"/>
        <v>0</v>
      </c>
      <c r="I102" s="167">
        <f t="shared" si="50"/>
        <v>0</v>
      </c>
      <c r="J102" s="167">
        <f t="shared" si="50"/>
        <v>0</v>
      </c>
      <c r="K102" s="167">
        <f t="shared" si="50"/>
        <v>0</v>
      </c>
      <c r="L102" s="167">
        <f t="shared" si="50"/>
        <v>0</v>
      </c>
      <c r="M102" s="167">
        <f t="shared" si="50"/>
        <v>0</v>
      </c>
      <c r="N102" s="167">
        <f t="shared" si="50"/>
        <v>0</v>
      </c>
      <c r="O102" s="167">
        <f t="shared" si="47"/>
        <v>109</v>
      </c>
      <c r="P102" s="149"/>
      <c r="Q102" s="149"/>
    </row>
    <row r="103" spans="1:17" s="201" customFormat="1" ht="13.5">
      <c r="A103" s="136"/>
      <c r="B103" s="198" t="s">
        <v>95</v>
      </c>
      <c r="C103" s="172">
        <v>9714</v>
      </c>
      <c r="D103" s="172">
        <v>3078</v>
      </c>
      <c r="E103" s="172">
        <v>3896</v>
      </c>
      <c r="F103" s="172">
        <v>0</v>
      </c>
      <c r="G103" s="172">
        <v>1185</v>
      </c>
      <c r="H103" s="172">
        <v>0</v>
      </c>
      <c r="I103" s="172">
        <v>0</v>
      </c>
      <c r="J103" s="172">
        <v>0</v>
      </c>
      <c r="K103" s="172">
        <v>0</v>
      </c>
      <c r="L103" s="172">
        <v>0</v>
      </c>
      <c r="M103" s="172">
        <v>0</v>
      </c>
      <c r="N103" s="172">
        <v>0</v>
      </c>
      <c r="O103" s="167">
        <f t="shared" si="47"/>
        <v>17873</v>
      </c>
      <c r="P103" s="149"/>
      <c r="Q103" s="149"/>
    </row>
    <row r="104" spans="1:17" ht="14.25" customHeight="1">
      <c r="A104" s="125" t="s">
        <v>130</v>
      </c>
      <c r="B104" s="152" t="s">
        <v>93</v>
      </c>
      <c r="C104" s="177">
        <f aca="true" t="shared" si="51" ref="C104:O104">SUM(C92+C95+C98+C101)</f>
        <v>174320</v>
      </c>
      <c r="D104" s="177">
        <f t="shared" si="51"/>
        <v>55752</v>
      </c>
      <c r="E104" s="177">
        <f t="shared" si="51"/>
        <v>176484</v>
      </c>
      <c r="F104" s="177">
        <f t="shared" si="51"/>
        <v>0</v>
      </c>
      <c r="G104" s="177">
        <f t="shared" si="51"/>
        <v>11038</v>
      </c>
      <c r="H104" s="177">
        <f t="shared" si="51"/>
        <v>0</v>
      </c>
      <c r="I104" s="177">
        <f t="shared" si="51"/>
        <v>0</v>
      </c>
      <c r="J104" s="177">
        <f t="shared" si="51"/>
        <v>0</v>
      </c>
      <c r="K104" s="177">
        <f t="shared" si="51"/>
        <v>0</v>
      </c>
      <c r="L104" s="177">
        <f t="shared" si="51"/>
        <v>0</v>
      </c>
      <c r="M104" s="177">
        <f t="shared" si="51"/>
        <v>787</v>
      </c>
      <c r="N104" s="177">
        <f t="shared" si="51"/>
        <v>0</v>
      </c>
      <c r="O104" s="177">
        <f t="shared" si="51"/>
        <v>418381</v>
      </c>
      <c r="P104" s="149"/>
      <c r="Q104" s="149"/>
    </row>
    <row r="105" spans="1:17" ht="14.25">
      <c r="A105" s="125"/>
      <c r="B105" s="152" t="s">
        <v>94</v>
      </c>
      <c r="C105" s="175">
        <f aca="true" t="shared" si="52" ref="C105:N105">(C106-C104)</f>
        <v>77</v>
      </c>
      <c r="D105" s="175">
        <f t="shared" si="52"/>
        <v>-1007</v>
      </c>
      <c r="E105" s="175">
        <f t="shared" si="52"/>
        <v>15826</v>
      </c>
      <c r="F105" s="175">
        <f t="shared" si="52"/>
        <v>0</v>
      </c>
      <c r="G105" s="175">
        <f t="shared" si="52"/>
        <v>0</v>
      </c>
      <c r="H105" s="175">
        <f t="shared" si="52"/>
        <v>0</v>
      </c>
      <c r="I105" s="175">
        <f t="shared" si="52"/>
        <v>0</v>
      </c>
      <c r="J105" s="175">
        <f t="shared" si="52"/>
        <v>0</v>
      </c>
      <c r="K105" s="175">
        <f t="shared" si="52"/>
        <v>0</v>
      </c>
      <c r="L105" s="175">
        <f t="shared" si="52"/>
        <v>0</v>
      </c>
      <c r="M105" s="175">
        <f t="shared" si="52"/>
        <v>450</v>
      </c>
      <c r="N105" s="175">
        <f t="shared" si="52"/>
        <v>0</v>
      </c>
      <c r="O105" s="175">
        <f>SUM(C105:N105)</f>
        <v>15346</v>
      </c>
      <c r="P105" s="149"/>
      <c r="Q105" s="149"/>
    </row>
    <row r="106" spans="1:17" ht="14.25">
      <c r="A106" s="125"/>
      <c r="B106" s="202" t="s">
        <v>95</v>
      </c>
      <c r="C106" s="188">
        <f aca="true" t="shared" si="53" ref="C106:O106">SUM(C94+C97+C100+C103)</f>
        <v>174397</v>
      </c>
      <c r="D106" s="188">
        <f t="shared" si="53"/>
        <v>54745</v>
      </c>
      <c r="E106" s="188">
        <f t="shared" si="53"/>
        <v>192310</v>
      </c>
      <c r="F106" s="188">
        <f t="shared" si="53"/>
        <v>0</v>
      </c>
      <c r="G106" s="188">
        <f t="shared" si="53"/>
        <v>11038</v>
      </c>
      <c r="H106" s="188">
        <f t="shared" si="53"/>
        <v>0</v>
      </c>
      <c r="I106" s="188">
        <f t="shared" si="53"/>
        <v>0</v>
      </c>
      <c r="J106" s="188">
        <f t="shared" si="53"/>
        <v>0</v>
      </c>
      <c r="K106" s="188">
        <f t="shared" si="53"/>
        <v>0</v>
      </c>
      <c r="L106" s="188">
        <f t="shared" si="53"/>
        <v>0</v>
      </c>
      <c r="M106" s="188">
        <f t="shared" si="53"/>
        <v>1237</v>
      </c>
      <c r="N106" s="188">
        <f t="shared" si="53"/>
        <v>0</v>
      </c>
      <c r="O106" s="188">
        <f t="shared" si="53"/>
        <v>433727</v>
      </c>
      <c r="P106" s="149"/>
      <c r="Q106" s="149"/>
    </row>
    <row r="107" spans="1:17" ht="14.25" customHeight="1">
      <c r="A107" s="134" t="s">
        <v>131</v>
      </c>
      <c r="B107" s="152" t="s">
        <v>93</v>
      </c>
      <c r="C107" s="177">
        <v>181541</v>
      </c>
      <c r="D107" s="177">
        <v>57910</v>
      </c>
      <c r="E107" s="177">
        <v>318930</v>
      </c>
      <c r="F107" s="177">
        <v>0</v>
      </c>
      <c r="G107" s="177">
        <v>1650</v>
      </c>
      <c r="H107" s="177">
        <v>0</v>
      </c>
      <c r="I107" s="177">
        <v>0</v>
      </c>
      <c r="J107" s="177">
        <v>0</v>
      </c>
      <c r="K107" s="177">
        <v>0</v>
      </c>
      <c r="L107" s="177">
        <v>0</v>
      </c>
      <c r="M107" s="177">
        <v>2125</v>
      </c>
      <c r="N107" s="177">
        <v>0</v>
      </c>
      <c r="O107" s="177">
        <f aca="true" t="shared" si="54" ref="O107:O118">SUM(C107:N107)</f>
        <v>562156</v>
      </c>
      <c r="P107" s="149"/>
      <c r="Q107" s="149"/>
    </row>
    <row r="108" spans="1:17" ht="14.25">
      <c r="A108" s="134"/>
      <c r="B108" s="163" t="s">
        <v>94</v>
      </c>
      <c r="C108" s="173">
        <f aca="true" t="shared" si="55" ref="C108:N108">(C109-C107)</f>
        <v>1820</v>
      </c>
      <c r="D108" s="173">
        <f t="shared" si="55"/>
        <v>583</v>
      </c>
      <c r="E108" s="173">
        <f t="shared" si="55"/>
        <v>14912</v>
      </c>
      <c r="F108" s="173">
        <f t="shared" si="55"/>
        <v>0</v>
      </c>
      <c r="G108" s="173">
        <f t="shared" si="55"/>
        <v>0</v>
      </c>
      <c r="H108" s="173">
        <f t="shared" si="55"/>
        <v>0</v>
      </c>
      <c r="I108" s="173">
        <f t="shared" si="55"/>
        <v>0</v>
      </c>
      <c r="J108" s="173">
        <f t="shared" si="55"/>
        <v>0</v>
      </c>
      <c r="K108" s="173">
        <f t="shared" si="55"/>
        <v>0</v>
      </c>
      <c r="L108" s="173">
        <f t="shared" si="55"/>
        <v>0</v>
      </c>
      <c r="M108" s="173">
        <f t="shared" si="55"/>
        <v>10657</v>
      </c>
      <c r="N108" s="173">
        <f t="shared" si="55"/>
        <v>1431</v>
      </c>
      <c r="O108" s="173">
        <f t="shared" si="54"/>
        <v>29403</v>
      </c>
      <c r="P108" s="149"/>
      <c r="Q108" s="149"/>
    </row>
    <row r="109" spans="1:17" ht="14.25">
      <c r="A109" s="134"/>
      <c r="B109" s="163" t="s">
        <v>152</v>
      </c>
      <c r="C109" s="156">
        <v>183361</v>
      </c>
      <c r="D109" s="156">
        <v>58493</v>
      </c>
      <c r="E109" s="156">
        <v>333842</v>
      </c>
      <c r="F109" s="156">
        <v>0</v>
      </c>
      <c r="G109" s="156">
        <v>1650</v>
      </c>
      <c r="H109" s="156">
        <v>0</v>
      </c>
      <c r="I109" s="156">
        <v>0</v>
      </c>
      <c r="J109" s="156">
        <v>0</v>
      </c>
      <c r="K109" s="156">
        <v>0</v>
      </c>
      <c r="L109" s="156">
        <v>0</v>
      </c>
      <c r="M109" s="156">
        <v>12782</v>
      </c>
      <c r="N109" s="156">
        <v>1431</v>
      </c>
      <c r="O109" s="173">
        <f t="shared" si="54"/>
        <v>591559</v>
      </c>
      <c r="P109" s="149"/>
      <c r="Q109" s="149"/>
    </row>
    <row r="110" spans="1:17" ht="14.25" customHeight="1">
      <c r="A110" s="134" t="s">
        <v>132</v>
      </c>
      <c r="B110" s="152" t="s">
        <v>93</v>
      </c>
      <c r="C110" s="177">
        <v>59669</v>
      </c>
      <c r="D110" s="177">
        <v>19622</v>
      </c>
      <c r="E110" s="177">
        <v>42584</v>
      </c>
      <c r="F110" s="177">
        <v>0</v>
      </c>
      <c r="G110" s="177">
        <v>1099</v>
      </c>
      <c r="H110" s="177">
        <v>0</v>
      </c>
      <c r="I110" s="177">
        <v>0</v>
      </c>
      <c r="J110" s="177">
        <v>0</v>
      </c>
      <c r="K110" s="177">
        <v>0</v>
      </c>
      <c r="L110" s="177">
        <v>0</v>
      </c>
      <c r="M110" s="177">
        <v>0</v>
      </c>
      <c r="N110" s="177">
        <v>0</v>
      </c>
      <c r="O110" s="173">
        <f t="shared" si="54"/>
        <v>122974</v>
      </c>
      <c r="P110" s="149"/>
      <c r="Q110" s="149"/>
    </row>
    <row r="111" spans="1:17" ht="14.25">
      <c r="A111" s="134"/>
      <c r="B111" s="163" t="s">
        <v>94</v>
      </c>
      <c r="C111" s="173">
        <f aca="true" t="shared" si="56" ref="C111:N111">(C112-C110)</f>
        <v>-227</v>
      </c>
      <c r="D111" s="173">
        <f t="shared" si="56"/>
        <v>-1083</v>
      </c>
      <c r="E111" s="173">
        <f t="shared" si="56"/>
        <v>13203</v>
      </c>
      <c r="F111" s="173">
        <f t="shared" si="56"/>
        <v>0</v>
      </c>
      <c r="G111" s="173">
        <f t="shared" si="56"/>
        <v>0</v>
      </c>
      <c r="H111" s="173">
        <f t="shared" si="56"/>
        <v>0</v>
      </c>
      <c r="I111" s="173">
        <f t="shared" si="56"/>
        <v>0</v>
      </c>
      <c r="J111" s="173">
        <f t="shared" si="56"/>
        <v>0</v>
      </c>
      <c r="K111" s="173">
        <f t="shared" si="56"/>
        <v>0</v>
      </c>
      <c r="L111" s="173">
        <f t="shared" si="56"/>
        <v>0</v>
      </c>
      <c r="M111" s="173">
        <f t="shared" si="56"/>
        <v>0</v>
      </c>
      <c r="N111" s="173">
        <f t="shared" si="56"/>
        <v>0</v>
      </c>
      <c r="O111" s="173">
        <f t="shared" si="54"/>
        <v>11893</v>
      </c>
      <c r="P111" s="149"/>
      <c r="Q111" s="149"/>
    </row>
    <row r="112" spans="1:17" ht="14.25">
      <c r="A112" s="134"/>
      <c r="B112" s="163" t="s">
        <v>95</v>
      </c>
      <c r="C112" s="156">
        <v>59442</v>
      </c>
      <c r="D112" s="156">
        <v>18539</v>
      </c>
      <c r="E112" s="156">
        <v>55787</v>
      </c>
      <c r="F112" s="156">
        <v>0</v>
      </c>
      <c r="G112" s="156">
        <v>1099</v>
      </c>
      <c r="H112" s="156">
        <v>0</v>
      </c>
      <c r="I112" s="156">
        <v>0</v>
      </c>
      <c r="J112" s="156">
        <v>0</v>
      </c>
      <c r="K112" s="156">
        <v>0</v>
      </c>
      <c r="L112" s="156">
        <v>0</v>
      </c>
      <c r="M112" s="156">
        <v>0</v>
      </c>
      <c r="N112" s="156">
        <v>0</v>
      </c>
      <c r="O112" s="173">
        <f t="shared" si="54"/>
        <v>134867</v>
      </c>
      <c r="P112" s="149"/>
      <c r="Q112" s="149"/>
    </row>
    <row r="113" spans="1:17" ht="14.25" customHeight="1">
      <c r="A113" s="134" t="s">
        <v>133</v>
      </c>
      <c r="B113" s="152" t="s">
        <v>93</v>
      </c>
      <c r="C113" s="177">
        <v>73226</v>
      </c>
      <c r="D113" s="177">
        <v>23501</v>
      </c>
      <c r="E113" s="177">
        <v>76609</v>
      </c>
      <c r="F113" s="177">
        <v>0</v>
      </c>
      <c r="G113" s="177">
        <v>0</v>
      </c>
      <c r="H113" s="177">
        <v>0</v>
      </c>
      <c r="I113" s="177">
        <v>0</v>
      </c>
      <c r="J113" s="177">
        <v>0</v>
      </c>
      <c r="K113" s="177">
        <v>0</v>
      </c>
      <c r="L113" s="177">
        <v>0</v>
      </c>
      <c r="M113" s="177">
        <v>3204</v>
      </c>
      <c r="N113" s="177">
        <v>0</v>
      </c>
      <c r="O113" s="173">
        <f t="shared" si="54"/>
        <v>176540</v>
      </c>
      <c r="P113" s="149"/>
      <c r="Q113" s="149"/>
    </row>
    <row r="114" spans="1:17" ht="14.25">
      <c r="A114" s="134"/>
      <c r="B114" s="163" t="s">
        <v>94</v>
      </c>
      <c r="C114" s="173">
        <f aca="true" t="shared" si="57" ref="C114:N114">(C115-C113)</f>
        <v>521</v>
      </c>
      <c r="D114" s="173">
        <f t="shared" si="57"/>
        <v>166</v>
      </c>
      <c r="E114" s="173">
        <f t="shared" si="57"/>
        <v>-6733</v>
      </c>
      <c r="F114" s="173">
        <f t="shared" si="57"/>
        <v>0</v>
      </c>
      <c r="G114" s="173">
        <f t="shared" si="57"/>
        <v>0</v>
      </c>
      <c r="H114" s="173">
        <f t="shared" si="57"/>
        <v>0</v>
      </c>
      <c r="I114" s="173">
        <f t="shared" si="57"/>
        <v>0</v>
      </c>
      <c r="J114" s="173">
        <f t="shared" si="57"/>
        <v>0</v>
      </c>
      <c r="K114" s="173">
        <f t="shared" si="57"/>
        <v>0</v>
      </c>
      <c r="L114" s="173">
        <f t="shared" si="57"/>
        <v>0</v>
      </c>
      <c r="M114" s="173">
        <f t="shared" si="57"/>
        <v>7443</v>
      </c>
      <c r="N114" s="173">
        <f t="shared" si="57"/>
        <v>0</v>
      </c>
      <c r="O114" s="173">
        <f t="shared" si="54"/>
        <v>1397</v>
      </c>
      <c r="P114" s="149"/>
      <c r="Q114" s="149"/>
    </row>
    <row r="115" spans="1:17" ht="14.25">
      <c r="A115" s="134"/>
      <c r="B115" s="163" t="s">
        <v>95</v>
      </c>
      <c r="C115" s="156">
        <v>73747</v>
      </c>
      <c r="D115" s="156">
        <v>23667</v>
      </c>
      <c r="E115" s="156">
        <v>69876</v>
      </c>
      <c r="F115" s="156">
        <v>0</v>
      </c>
      <c r="G115" s="156">
        <v>0</v>
      </c>
      <c r="H115" s="156">
        <v>0</v>
      </c>
      <c r="I115" s="156">
        <v>0</v>
      </c>
      <c r="J115" s="156">
        <v>0</v>
      </c>
      <c r="K115" s="156">
        <v>0</v>
      </c>
      <c r="L115" s="156">
        <v>0</v>
      </c>
      <c r="M115" s="156">
        <v>10647</v>
      </c>
      <c r="N115" s="156">
        <v>0</v>
      </c>
      <c r="O115" s="173">
        <f t="shared" si="54"/>
        <v>177937</v>
      </c>
      <c r="P115" s="149"/>
      <c r="Q115" s="149"/>
    </row>
    <row r="116" spans="1:17" ht="14.25" customHeight="1">
      <c r="A116" s="134" t="s">
        <v>134</v>
      </c>
      <c r="B116" s="152" t="s">
        <v>93</v>
      </c>
      <c r="C116" s="177">
        <v>75424</v>
      </c>
      <c r="D116" s="177">
        <v>23720</v>
      </c>
      <c r="E116" s="177">
        <v>76360</v>
      </c>
      <c r="F116" s="177">
        <v>0</v>
      </c>
      <c r="G116" s="177">
        <v>606</v>
      </c>
      <c r="H116" s="177">
        <v>0</v>
      </c>
      <c r="I116" s="177">
        <v>0</v>
      </c>
      <c r="J116" s="177">
        <v>0</v>
      </c>
      <c r="K116" s="177">
        <v>0</v>
      </c>
      <c r="L116" s="177">
        <v>0</v>
      </c>
      <c r="M116" s="177">
        <v>2371</v>
      </c>
      <c r="N116" s="177">
        <v>2302</v>
      </c>
      <c r="O116" s="173">
        <f t="shared" si="54"/>
        <v>180783</v>
      </c>
      <c r="P116" s="149"/>
      <c r="Q116" s="149"/>
    </row>
    <row r="117" spans="1:17" ht="14.25">
      <c r="A117" s="134"/>
      <c r="B117" s="163" t="s">
        <v>94</v>
      </c>
      <c r="C117" s="173">
        <f aca="true" t="shared" si="58" ref="C117:N117">(C118-C116)</f>
        <v>-730</v>
      </c>
      <c r="D117" s="173">
        <f t="shared" si="58"/>
        <v>-1615</v>
      </c>
      <c r="E117" s="173">
        <f t="shared" si="58"/>
        <v>19943</v>
      </c>
      <c r="F117" s="173">
        <f t="shared" si="58"/>
        <v>0</v>
      </c>
      <c r="G117" s="173">
        <f t="shared" si="58"/>
        <v>0</v>
      </c>
      <c r="H117" s="173">
        <f t="shared" si="58"/>
        <v>0</v>
      </c>
      <c r="I117" s="173">
        <f t="shared" si="58"/>
        <v>0</v>
      </c>
      <c r="J117" s="173">
        <f t="shared" si="58"/>
        <v>0</v>
      </c>
      <c r="K117" s="173">
        <f t="shared" si="58"/>
        <v>0</v>
      </c>
      <c r="L117" s="173">
        <f t="shared" si="58"/>
        <v>0</v>
      </c>
      <c r="M117" s="173">
        <f t="shared" si="58"/>
        <v>0</v>
      </c>
      <c r="N117" s="173">
        <f t="shared" si="58"/>
        <v>231</v>
      </c>
      <c r="O117" s="173">
        <f t="shared" si="54"/>
        <v>17829</v>
      </c>
      <c r="P117" s="149"/>
      <c r="Q117" s="149"/>
    </row>
    <row r="118" spans="1:17" s="201" customFormat="1" ht="13.5">
      <c r="A118" s="134"/>
      <c r="B118" s="163" t="s">
        <v>95</v>
      </c>
      <c r="C118" s="156">
        <v>74694</v>
      </c>
      <c r="D118" s="156">
        <v>22105</v>
      </c>
      <c r="E118" s="156">
        <v>96303</v>
      </c>
      <c r="F118" s="156">
        <v>0</v>
      </c>
      <c r="G118" s="156">
        <v>606</v>
      </c>
      <c r="H118" s="156">
        <v>0</v>
      </c>
      <c r="I118" s="156">
        <v>0</v>
      </c>
      <c r="J118" s="156">
        <v>0</v>
      </c>
      <c r="K118" s="156">
        <v>0</v>
      </c>
      <c r="L118" s="156">
        <v>0</v>
      </c>
      <c r="M118" s="156">
        <v>2371</v>
      </c>
      <c r="N118" s="156">
        <v>2533</v>
      </c>
      <c r="O118" s="175">
        <f t="shared" si="54"/>
        <v>198612</v>
      </c>
      <c r="P118" s="149"/>
      <c r="Q118" s="149"/>
    </row>
    <row r="119" spans="1:17" ht="15" customHeight="1">
      <c r="A119" s="134" t="s">
        <v>135</v>
      </c>
      <c r="B119" s="152" t="s">
        <v>93</v>
      </c>
      <c r="C119" s="177">
        <f aca="true" t="shared" si="59" ref="C119:O119">SUM(C104+C107+C110+C113+C116)</f>
        <v>564180</v>
      </c>
      <c r="D119" s="177">
        <f t="shared" si="59"/>
        <v>180505</v>
      </c>
      <c r="E119" s="177">
        <f>SUM(E104+E107+E110+E113+E116)</f>
        <v>690967</v>
      </c>
      <c r="F119" s="177">
        <f t="shared" si="59"/>
        <v>0</v>
      </c>
      <c r="G119" s="177">
        <f>SUM(G104+G107+G110+G113+G116)</f>
        <v>14393</v>
      </c>
      <c r="H119" s="177">
        <f t="shared" si="59"/>
        <v>0</v>
      </c>
      <c r="I119" s="177">
        <f t="shared" si="59"/>
        <v>0</v>
      </c>
      <c r="J119" s="177">
        <f t="shared" si="59"/>
        <v>0</v>
      </c>
      <c r="K119" s="177">
        <f t="shared" si="59"/>
        <v>0</v>
      </c>
      <c r="L119" s="177">
        <f t="shared" si="59"/>
        <v>0</v>
      </c>
      <c r="M119" s="177">
        <f t="shared" si="59"/>
        <v>8487</v>
      </c>
      <c r="N119" s="177">
        <f t="shared" si="59"/>
        <v>2302</v>
      </c>
      <c r="O119" s="177">
        <f t="shared" si="59"/>
        <v>1460834</v>
      </c>
      <c r="P119" s="149"/>
      <c r="Q119" s="149"/>
    </row>
    <row r="120" spans="1:17" ht="15" customHeight="1">
      <c r="A120" s="134"/>
      <c r="B120" s="152" t="s">
        <v>94</v>
      </c>
      <c r="C120" s="175">
        <f aca="true" t="shared" si="60" ref="C120:N120">(C121-C119)</f>
        <v>1461</v>
      </c>
      <c r="D120" s="175">
        <f t="shared" si="60"/>
        <v>-2956</v>
      </c>
      <c r="E120" s="175">
        <f t="shared" si="60"/>
        <v>57151</v>
      </c>
      <c r="F120" s="175">
        <f t="shared" si="60"/>
        <v>0</v>
      </c>
      <c r="G120" s="175">
        <f t="shared" si="60"/>
        <v>0</v>
      </c>
      <c r="H120" s="175">
        <f t="shared" si="60"/>
        <v>0</v>
      </c>
      <c r="I120" s="175">
        <f t="shared" si="60"/>
        <v>0</v>
      </c>
      <c r="J120" s="175">
        <f t="shared" si="60"/>
        <v>0</v>
      </c>
      <c r="K120" s="175">
        <f t="shared" si="60"/>
        <v>0</v>
      </c>
      <c r="L120" s="175">
        <f t="shared" si="60"/>
        <v>0</v>
      </c>
      <c r="M120" s="175">
        <f t="shared" si="60"/>
        <v>18550</v>
      </c>
      <c r="N120" s="175">
        <f t="shared" si="60"/>
        <v>1662</v>
      </c>
      <c r="O120" s="175">
        <f>SUM(C120:N120)</f>
        <v>75868</v>
      </c>
      <c r="P120" s="149"/>
      <c r="Q120" s="149"/>
    </row>
    <row r="121" spans="1:17" ht="15" customHeight="1">
      <c r="A121" s="134"/>
      <c r="B121" s="152" t="s">
        <v>95</v>
      </c>
      <c r="C121" s="177">
        <f aca="true" t="shared" si="61" ref="C121:O121">SUM(C106+C109+C112+C115+C118)</f>
        <v>565641</v>
      </c>
      <c r="D121" s="177">
        <f t="shared" si="61"/>
        <v>177549</v>
      </c>
      <c r="E121" s="177">
        <f t="shared" si="61"/>
        <v>748118</v>
      </c>
      <c r="F121" s="177">
        <f t="shared" si="61"/>
        <v>0</v>
      </c>
      <c r="G121" s="177">
        <f t="shared" si="61"/>
        <v>14393</v>
      </c>
      <c r="H121" s="177">
        <f t="shared" si="61"/>
        <v>0</v>
      </c>
      <c r="I121" s="177">
        <f t="shared" si="61"/>
        <v>0</v>
      </c>
      <c r="J121" s="177">
        <f t="shared" si="61"/>
        <v>0</v>
      </c>
      <c r="K121" s="177">
        <f t="shared" si="61"/>
        <v>0</v>
      </c>
      <c r="L121" s="177">
        <f t="shared" si="61"/>
        <v>0</v>
      </c>
      <c r="M121" s="177">
        <f t="shared" si="61"/>
        <v>27037</v>
      </c>
      <c r="N121" s="177">
        <f t="shared" si="61"/>
        <v>3964</v>
      </c>
      <c r="O121" s="177">
        <f t="shared" si="61"/>
        <v>1536702</v>
      </c>
      <c r="P121" s="149"/>
      <c r="Q121" s="149"/>
    </row>
    <row r="122" spans="1:17" ht="14.25" customHeight="1">
      <c r="A122" s="158" t="s">
        <v>136</v>
      </c>
      <c r="B122" s="196" t="s">
        <v>93</v>
      </c>
      <c r="C122" s="203">
        <v>143460</v>
      </c>
      <c r="D122" s="203">
        <v>45742</v>
      </c>
      <c r="E122" s="203">
        <v>177349</v>
      </c>
      <c r="F122" s="203">
        <v>0</v>
      </c>
      <c r="G122" s="203">
        <v>0</v>
      </c>
      <c r="H122" s="203">
        <v>0</v>
      </c>
      <c r="I122" s="203">
        <v>0</v>
      </c>
      <c r="J122" s="203">
        <v>0</v>
      </c>
      <c r="K122" s="203">
        <v>0</v>
      </c>
      <c r="L122" s="203">
        <v>0</v>
      </c>
      <c r="M122" s="203">
        <v>163102</v>
      </c>
      <c r="N122" s="203">
        <v>0</v>
      </c>
      <c r="O122" s="167">
        <f aca="true" t="shared" si="62" ref="O122:O127">SUM(C122:N122)</f>
        <v>529653</v>
      </c>
      <c r="P122" s="149"/>
      <c r="Q122" s="149"/>
    </row>
    <row r="123" spans="1:17" ht="14.25">
      <c r="A123" s="158"/>
      <c r="B123" s="197" t="s">
        <v>94</v>
      </c>
      <c r="C123" s="167">
        <f aca="true" t="shared" si="63" ref="C123:N123">(C124-C122)</f>
        <v>-2530</v>
      </c>
      <c r="D123" s="167">
        <f t="shared" si="63"/>
        <v>-18</v>
      </c>
      <c r="E123" s="167">
        <f t="shared" si="63"/>
        <v>-5000</v>
      </c>
      <c r="F123" s="167">
        <f t="shared" si="63"/>
        <v>0</v>
      </c>
      <c r="G123" s="167">
        <f t="shared" si="63"/>
        <v>0</v>
      </c>
      <c r="H123" s="167">
        <f t="shared" si="63"/>
        <v>0</v>
      </c>
      <c r="I123" s="167">
        <f t="shared" si="63"/>
        <v>0</v>
      </c>
      <c r="J123" s="167">
        <f t="shared" si="63"/>
        <v>0</v>
      </c>
      <c r="K123" s="167">
        <f t="shared" si="63"/>
        <v>0</v>
      </c>
      <c r="L123" s="167">
        <f t="shared" si="63"/>
        <v>0</v>
      </c>
      <c r="M123" s="167">
        <f t="shared" si="63"/>
        <v>21910</v>
      </c>
      <c r="N123" s="167">
        <f t="shared" si="63"/>
        <v>0</v>
      </c>
      <c r="O123" s="167">
        <f t="shared" si="62"/>
        <v>14362</v>
      </c>
      <c r="P123" s="149"/>
      <c r="Q123" s="149"/>
    </row>
    <row r="124" spans="1:17" ht="14.25">
      <c r="A124" s="158"/>
      <c r="B124" s="198" t="s">
        <v>152</v>
      </c>
      <c r="C124" s="204">
        <v>140930</v>
      </c>
      <c r="D124" s="204">
        <v>45724</v>
      </c>
      <c r="E124" s="204">
        <v>172349</v>
      </c>
      <c r="F124" s="204">
        <v>0</v>
      </c>
      <c r="G124" s="204">
        <v>0</v>
      </c>
      <c r="H124" s="204">
        <v>0</v>
      </c>
      <c r="I124" s="204">
        <v>0</v>
      </c>
      <c r="J124" s="204">
        <v>0</v>
      </c>
      <c r="K124" s="204">
        <v>0</v>
      </c>
      <c r="L124" s="204">
        <v>0</v>
      </c>
      <c r="M124" s="204">
        <v>185012</v>
      </c>
      <c r="N124" s="204">
        <v>0</v>
      </c>
      <c r="O124" s="172">
        <f t="shared" si="62"/>
        <v>544015</v>
      </c>
      <c r="P124" s="149"/>
      <c r="Q124" s="149"/>
    </row>
    <row r="125" spans="1:17" ht="14.25" customHeight="1">
      <c r="A125" s="158" t="s">
        <v>137</v>
      </c>
      <c r="B125" s="196" t="s">
        <v>93</v>
      </c>
      <c r="C125" s="159">
        <v>78446</v>
      </c>
      <c r="D125" s="159">
        <v>23247</v>
      </c>
      <c r="E125" s="159">
        <v>19311</v>
      </c>
      <c r="F125" s="203">
        <v>0</v>
      </c>
      <c r="G125" s="203">
        <v>0</v>
      </c>
      <c r="H125" s="203">
        <v>0</v>
      </c>
      <c r="I125" s="203">
        <v>0</v>
      </c>
      <c r="J125" s="203">
        <v>0</v>
      </c>
      <c r="K125" s="203">
        <v>0</v>
      </c>
      <c r="L125" s="203">
        <v>0</v>
      </c>
      <c r="M125" s="159">
        <v>16900</v>
      </c>
      <c r="N125" s="159">
        <v>0</v>
      </c>
      <c r="O125" s="166">
        <f t="shared" si="62"/>
        <v>137904</v>
      </c>
      <c r="P125" s="149"/>
      <c r="Q125" s="149"/>
    </row>
    <row r="126" spans="1:17" ht="14.25">
      <c r="A126" s="158"/>
      <c r="B126" s="197" t="s">
        <v>94</v>
      </c>
      <c r="C126" s="167">
        <f aca="true" t="shared" si="64" ref="C126:N126">(C127-C125)</f>
        <v>400</v>
      </c>
      <c r="D126" s="205">
        <f t="shared" si="64"/>
        <v>128</v>
      </c>
      <c r="E126" s="167">
        <f t="shared" si="64"/>
        <v>202</v>
      </c>
      <c r="F126" s="167">
        <f t="shared" si="64"/>
        <v>0</v>
      </c>
      <c r="G126" s="167">
        <f t="shared" si="64"/>
        <v>0</v>
      </c>
      <c r="H126" s="167">
        <f t="shared" si="64"/>
        <v>0</v>
      </c>
      <c r="I126" s="167">
        <f t="shared" si="64"/>
        <v>0</v>
      </c>
      <c r="J126" s="167">
        <f t="shared" si="64"/>
        <v>0</v>
      </c>
      <c r="K126" s="167">
        <f t="shared" si="64"/>
        <v>0</v>
      </c>
      <c r="L126" s="167">
        <f t="shared" si="64"/>
        <v>0</v>
      </c>
      <c r="M126" s="167">
        <f t="shared" si="64"/>
        <v>0</v>
      </c>
      <c r="N126" s="167">
        <f t="shared" si="64"/>
        <v>0</v>
      </c>
      <c r="O126" s="167">
        <f t="shared" si="62"/>
        <v>730</v>
      </c>
      <c r="P126" s="149"/>
      <c r="Q126" s="149"/>
    </row>
    <row r="127" spans="1:17" ht="14.25">
      <c r="A127" s="158"/>
      <c r="B127" s="198" t="s">
        <v>95</v>
      </c>
      <c r="C127" s="167">
        <v>78846</v>
      </c>
      <c r="D127" s="167">
        <v>23375</v>
      </c>
      <c r="E127" s="167">
        <v>19513</v>
      </c>
      <c r="F127" s="160">
        <v>0</v>
      </c>
      <c r="G127" s="160">
        <v>0</v>
      </c>
      <c r="H127" s="160">
        <v>0</v>
      </c>
      <c r="I127" s="160">
        <v>0</v>
      </c>
      <c r="J127" s="160">
        <v>0</v>
      </c>
      <c r="K127" s="160">
        <v>0</v>
      </c>
      <c r="L127" s="160">
        <v>0</v>
      </c>
      <c r="M127" s="167">
        <v>16900</v>
      </c>
      <c r="N127" s="160">
        <v>0</v>
      </c>
      <c r="O127" s="167">
        <f t="shared" si="62"/>
        <v>138634</v>
      </c>
      <c r="P127" s="149"/>
      <c r="Q127" s="149"/>
    </row>
    <row r="128" spans="1:17" ht="14.25" customHeight="1">
      <c r="A128" s="134" t="s">
        <v>138</v>
      </c>
      <c r="B128" s="152" t="s">
        <v>93</v>
      </c>
      <c r="C128" s="177">
        <f aca="true" t="shared" si="65" ref="C128:O128">SUM(C122+C125)</f>
        <v>221906</v>
      </c>
      <c r="D128" s="177">
        <f t="shared" si="65"/>
        <v>68989</v>
      </c>
      <c r="E128" s="177">
        <f t="shared" si="65"/>
        <v>196660</v>
      </c>
      <c r="F128" s="177">
        <f t="shared" si="65"/>
        <v>0</v>
      </c>
      <c r="G128" s="177">
        <f t="shared" si="65"/>
        <v>0</v>
      </c>
      <c r="H128" s="177">
        <f t="shared" si="65"/>
        <v>0</v>
      </c>
      <c r="I128" s="177">
        <f t="shared" si="65"/>
        <v>0</v>
      </c>
      <c r="J128" s="177">
        <f t="shared" si="65"/>
        <v>0</v>
      </c>
      <c r="K128" s="177">
        <f t="shared" si="65"/>
        <v>0</v>
      </c>
      <c r="L128" s="177">
        <f t="shared" si="65"/>
        <v>0</v>
      </c>
      <c r="M128" s="177">
        <f t="shared" si="65"/>
        <v>180002</v>
      </c>
      <c r="N128" s="177">
        <f t="shared" si="65"/>
        <v>0</v>
      </c>
      <c r="O128" s="177">
        <f t="shared" si="65"/>
        <v>667557</v>
      </c>
      <c r="P128" s="149"/>
      <c r="Q128" s="149"/>
    </row>
    <row r="129" spans="1:17" ht="14.25">
      <c r="A129" s="134"/>
      <c r="B129" s="152" t="s">
        <v>94</v>
      </c>
      <c r="C129" s="175">
        <f aca="true" t="shared" si="66" ref="C129:N129">(C130-C128)</f>
        <v>-2130</v>
      </c>
      <c r="D129" s="175">
        <f t="shared" si="66"/>
        <v>110</v>
      </c>
      <c r="E129" s="175">
        <f t="shared" si="66"/>
        <v>-4798</v>
      </c>
      <c r="F129" s="175">
        <f t="shared" si="66"/>
        <v>0</v>
      </c>
      <c r="G129" s="175">
        <f t="shared" si="66"/>
        <v>0</v>
      </c>
      <c r="H129" s="175">
        <f t="shared" si="66"/>
        <v>0</v>
      </c>
      <c r="I129" s="175">
        <f t="shared" si="66"/>
        <v>0</v>
      </c>
      <c r="J129" s="175">
        <f t="shared" si="66"/>
        <v>0</v>
      </c>
      <c r="K129" s="175">
        <f t="shared" si="66"/>
        <v>0</v>
      </c>
      <c r="L129" s="175">
        <f t="shared" si="66"/>
        <v>0</v>
      </c>
      <c r="M129" s="175">
        <f t="shared" si="66"/>
        <v>21910</v>
      </c>
      <c r="N129" s="175">
        <f t="shared" si="66"/>
        <v>0</v>
      </c>
      <c r="O129" s="175">
        <f>SUM(C129:N129)</f>
        <v>15092</v>
      </c>
      <c r="P129" s="149"/>
      <c r="Q129" s="149"/>
    </row>
    <row r="130" spans="1:17" ht="14.25">
      <c r="A130" s="134"/>
      <c r="B130" s="152" t="s">
        <v>95</v>
      </c>
      <c r="C130" s="177">
        <f aca="true" t="shared" si="67" ref="C130:O130">SUM(C124+C127)</f>
        <v>219776</v>
      </c>
      <c r="D130" s="177">
        <f t="shared" si="67"/>
        <v>69099</v>
      </c>
      <c r="E130" s="177">
        <f t="shared" si="67"/>
        <v>191862</v>
      </c>
      <c r="F130" s="177">
        <f t="shared" si="67"/>
        <v>0</v>
      </c>
      <c r="G130" s="177">
        <f t="shared" si="67"/>
        <v>0</v>
      </c>
      <c r="H130" s="177">
        <f t="shared" si="67"/>
        <v>0</v>
      </c>
      <c r="I130" s="177">
        <f t="shared" si="67"/>
        <v>0</v>
      </c>
      <c r="J130" s="177">
        <f t="shared" si="67"/>
        <v>0</v>
      </c>
      <c r="K130" s="177">
        <f t="shared" si="67"/>
        <v>0</v>
      </c>
      <c r="L130" s="177">
        <f t="shared" si="67"/>
        <v>0</v>
      </c>
      <c r="M130" s="177">
        <f t="shared" si="67"/>
        <v>201912</v>
      </c>
      <c r="N130" s="177">
        <f t="shared" si="67"/>
        <v>0</v>
      </c>
      <c r="O130" s="177">
        <f t="shared" si="67"/>
        <v>682649</v>
      </c>
      <c r="P130" s="149"/>
      <c r="Q130" s="149"/>
    </row>
    <row r="131" spans="1:17" ht="13.5" customHeight="1">
      <c r="A131" s="134" t="s">
        <v>139</v>
      </c>
      <c r="B131" s="152" t="s">
        <v>93</v>
      </c>
      <c r="C131" s="177">
        <v>361750</v>
      </c>
      <c r="D131" s="177">
        <v>110232</v>
      </c>
      <c r="E131" s="177">
        <v>66281</v>
      </c>
      <c r="F131" s="177">
        <v>0</v>
      </c>
      <c r="G131" s="177">
        <v>126</v>
      </c>
      <c r="H131" s="177">
        <v>0</v>
      </c>
      <c r="I131" s="177">
        <v>0</v>
      </c>
      <c r="J131" s="177">
        <v>0</v>
      </c>
      <c r="K131" s="177">
        <v>0</v>
      </c>
      <c r="L131" s="177">
        <v>0</v>
      </c>
      <c r="M131" s="177">
        <v>1000</v>
      </c>
      <c r="N131" s="177">
        <v>26560</v>
      </c>
      <c r="O131" s="173">
        <f>SUM(C131:N131)</f>
        <v>565949</v>
      </c>
      <c r="P131" s="149"/>
      <c r="Q131" s="149"/>
    </row>
    <row r="132" spans="1:17" ht="14.25">
      <c r="A132" s="134"/>
      <c r="B132" s="163" t="s">
        <v>94</v>
      </c>
      <c r="C132" s="173">
        <f aca="true" t="shared" si="68" ref="C132:N132">(C133-C131)</f>
        <v>-5153</v>
      </c>
      <c r="D132" s="173">
        <f t="shared" si="68"/>
        <v>-2535</v>
      </c>
      <c r="E132" s="173">
        <f t="shared" si="68"/>
        <v>18965</v>
      </c>
      <c r="F132" s="173">
        <f t="shared" si="68"/>
        <v>0</v>
      </c>
      <c r="G132" s="173">
        <f t="shared" si="68"/>
        <v>0</v>
      </c>
      <c r="H132" s="173">
        <f t="shared" si="68"/>
        <v>0</v>
      </c>
      <c r="I132" s="173">
        <f t="shared" si="68"/>
        <v>0</v>
      </c>
      <c r="J132" s="173">
        <f t="shared" si="68"/>
        <v>0</v>
      </c>
      <c r="K132" s="173">
        <f t="shared" si="68"/>
        <v>0</v>
      </c>
      <c r="L132" s="173">
        <f t="shared" si="68"/>
        <v>0</v>
      </c>
      <c r="M132" s="173">
        <f t="shared" si="68"/>
        <v>761</v>
      </c>
      <c r="N132" s="173">
        <f t="shared" si="68"/>
        <v>7064</v>
      </c>
      <c r="O132" s="173">
        <f>SUM(C132:N132)</f>
        <v>19102</v>
      </c>
      <c r="P132" s="149"/>
      <c r="Q132" s="149"/>
    </row>
    <row r="133" spans="1:17" s="201" customFormat="1" ht="13.5" customHeight="1">
      <c r="A133" s="134"/>
      <c r="B133" s="163" t="s">
        <v>95</v>
      </c>
      <c r="C133" s="173">
        <v>356597</v>
      </c>
      <c r="D133" s="173">
        <v>107697</v>
      </c>
      <c r="E133" s="173">
        <v>85246</v>
      </c>
      <c r="F133" s="173">
        <v>0</v>
      </c>
      <c r="G133" s="173">
        <v>126</v>
      </c>
      <c r="H133" s="173">
        <v>0</v>
      </c>
      <c r="I133" s="173">
        <v>0</v>
      </c>
      <c r="J133" s="173">
        <v>0</v>
      </c>
      <c r="K133" s="173">
        <v>0</v>
      </c>
      <c r="L133" s="173">
        <v>0</v>
      </c>
      <c r="M133" s="173">
        <v>1761</v>
      </c>
      <c r="N133" s="173">
        <v>33624</v>
      </c>
      <c r="O133" s="177">
        <f>SUM(C133:N133)</f>
        <v>585051</v>
      </c>
      <c r="P133" s="149"/>
      <c r="Q133" s="149"/>
    </row>
    <row r="134" spans="1:17" s="201" customFormat="1" ht="15" customHeight="1">
      <c r="A134" s="125" t="s">
        <v>140</v>
      </c>
      <c r="B134" s="163" t="s">
        <v>93</v>
      </c>
      <c r="C134" s="173">
        <f aca="true" t="shared" si="69" ref="C134:O136">SUM(C128,C131)</f>
        <v>583656</v>
      </c>
      <c r="D134" s="173">
        <f t="shared" si="69"/>
        <v>179221</v>
      </c>
      <c r="E134" s="173">
        <f t="shared" si="69"/>
        <v>262941</v>
      </c>
      <c r="F134" s="173">
        <f t="shared" si="69"/>
        <v>0</v>
      </c>
      <c r="G134" s="173">
        <f t="shared" si="69"/>
        <v>126</v>
      </c>
      <c r="H134" s="173">
        <f t="shared" si="69"/>
        <v>0</v>
      </c>
      <c r="I134" s="173">
        <f t="shared" si="69"/>
        <v>0</v>
      </c>
      <c r="J134" s="173">
        <f t="shared" si="69"/>
        <v>0</v>
      </c>
      <c r="K134" s="173">
        <f t="shared" si="69"/>
        <v>0</v>
      </c>
      <c r="L134" s="173">
        <f t="shared" si="69"/>
        <v>0</v>
      </c>
      <c r="M134" s="173">
        <f t="shared" si="69"/>
        <v>181002</v>
      </c>
      <c r="N134" s="173">
        <f t="shared" si="69"/>
        <v>26560</v>
      </c>
      <c r="O134" s="173">
        <f t="shared" si="69"/>
        <v>1233506</v>
      </c>
      <c r="P134" s="149"/>
      <c r="Q134" s="149"/>
    </row>
    <row r="135" spans="1:17" s="201" customFormat="1" ht="15" customHeight="1">
      <c r="A135" s="125"/>
      <c r="B135" s="163" t="s">
        <v>94</v>
      </c>
      <c r="C135" s="173">
        <f>SUM(C129,C132)</f>
        <v>-7283</v>
      </c>
      <c r="D135" s="173">
        <f t="shared" si="69"/>
        <v>-2425</v>
      </c>
      <c r="E135" s="173">
        <f t="shared" si="69"/>
        <v>14167</v>
      </c>
      <c r="F135" s="173">
        <f t="shared" si="69"/>
        <v>0</v>
      </c>
      <c r="G135" s="173">
        <f t="shared" si="69"/>
        <v>0</v>
      </c>
      <c r="H135" s="173">
        <f t="shared" si="69"/>
        <v>0</v>
      </c>
      <c r="I135" s="173">
        <f t="shared" si="69"/>
        <v>0</v>
      </c>
      <c r="J135" s="173">
        <f t="shared" si="69"/>
        <v>0</v>
      </c>
      <c r="K135" s="173">
        <f t="shared" si="69"/>
        <v>0</v>
      </c>
      <c r="L135" s="173">
        <f t="shared" si="69"/>
        <v>0</v>
      </c>
      <c r="M135" s="173">
        <f t="shared" si="69"/>
        <v>22671</v>
      </c>
      <c r="N135" s="173">
        <f t="shared" si="69"/>
        <v>7064</v>
      </c>
      <c r="O135" s="173">
        <f t="shared" si="69"/>
        <v>34194</v>
      </c>
      <c r="P135" s="149"/>
      <c r="Q135" s="149"/>
    </row>
    <row r="136" spans="1:17" s="201" customFormat="1" ht="15" customHeight="1">
      <c r="A136" s="125"/>
      <c r="B136" s="206" t="s">
        <v>95</v>
      </c>
      <c r="C136" s="173">
        <f>SUM(C130,C133)</f>
        <v>576373</v>
      </c>
      <c r="D136" s="173">
        <f t="shared" si="69"/>
        <v>176796</v>
      </c>
      <c r="E136" s="173">
        <f t="shared" si="69"/>
        <v>277108</v>
      </c>
      <c r="F136" s="173">
        <f t="shared" si="69"/>
        <v>0</v>
      </c>
      <c r="G136" s="173">
        <f t="shared" si="69"/>
        <v>126</v>
      </c>
      <c r="H136" s="173">
        <f t="shared" si="69"/>
        <v>0</v>
      </c>
      <c r="I136" s="173">
        <f t="shared" si="69"/>
        <v>0</v>
      </c>
      <c r="J136" s="173">
        <f t="shared" si="69"/>
        <v>0</v>
      </c>
      <c r="K136" s="173">
        <f t="shared" si="69"/>
        <v>0</v>
      </c>
      <c r="L136" s="173">
        <f t="shared" si="69"/>
        <v>0</v>
      </c>
      <c r="M136" s="173">
        <f t="shared" si="69"/>
        <v>203673</v>
      </c>
      <c r="N136" s="173">
        <f t="shared" si="69"/>
        <v>33624</v>
      </c>
      <c r="O136" s="173">
        <f t="shared" si="69"/>
        <v>1267700</v>
      </c>
      <c r="P136" s="149"/>
      <c r="Q136" s="149"/>
    </row>
    <row r="137" spans="1:17" ht="15" customHeight="1">
      <c r="A137" s="134" t="s">
        <v>141</v>
      </c>
      <c r="B137" s="152" t="s">
        <v>93</v>
      </c>
      <c r="C137" s="177">
        <f aca="true" t="shared" si="70" ref="C137:O137">SUM(C14,C89,C119,C134)</f>
        <v>8191958</v>
      </c>
      <c r="D137" s="177">
        <f t="shared" si="70"/>
        <v>2594174</v>
      </c>
      <c r="E137" s="177">
        <f t="shared" si="70"/>
        <v>4231682</v>
      </c>
      <c r="F137" s="177">
        <f t="shared" si="70"/>
        <v>463</v>
      </c>
      <c r="G137" s="177">
        <f t="shared" si="70"/>
        <v>157503</v>
      </c>
      <c r="H137" s="177">
        <f t="shared" si="70"/>
        <v>1763</v>
      </c>
      <c r="I137" s="177">
        <f t="shared" si="70"/>
        <v>234</v>
      </c>
      <c r="J137" s="177">
        <f t="shared" si="70"/>
        <v>7900</v>
      </c>
      <c r="K137" s="177">
        <f t="shared" si="70"/>
        <v>0</v>
      </c>
      <c r="L137" s="177">
        <f t="shared" si="70"/>
        <v>67032</v>
      </c>
      <c r="M137" s="177">
        <f t="shared" si="70"/>
        <v>428392</v>
      </c>
      <c r="N137" s="177">
        <f t="shared" si="70"/>
        <v>113483</v>
      </c>
      <c r="O137" s="177">
        <f t="shared" si="70"/>
        <v>15794584</v>
      </c>
      <c r="P137" s="149"/>
      <c r="Q137" s="149"/>
    </row>
    <row r="138" spans="1:17" ht="15" customHeight="1">
      <c r="A138" s="134"/>
      <c r="B138" s="152" t="s">
        <v>94</v>
      </c>
      <c r="C138" s="207">
        <f aca="true" t="shared" si="71" ref="C138:N138">(C139-C137)</f>
        <v>57163</v>
      </c>
      <c r="D138" s="207">
        <f t="shared" si="71"/>
        <v>-7859</v>
      </c>
      <c r="E138" s="175">
        <f t="shared" si="71"/>
        <v>167669</v>
      </c>
      <c r="F138" s="175">
        <f t="shared" si="71"/>
        <v>-20</v>
      </c>
      <c r="G138" s="175">
        <f t="shared" si="71"/>
        <v>0</v>
      </c>
      <c r="H138" s="175">
        <f t="shared" si="71"/>
        <v>-54</v>
      </c>
      <c r="I138" s="175">
        <f t="shared" si="71"/>
        <v>-18</v>
      </c>
      <c r="J138" s="175">
        <f t="shared" si="71"/>
        <v>-401</v>
      </c>
      <c r="K138" s="175">
        <f t="shared" si="71"/>
        <v>0</v>
      </c>
      <c r="L138" s="175">
        <f t="shared" si="71"/>
        <v>2969</v>
      </c>
      <c r="M138" s="175">
        <f t="shared" si="71"/>
        <v>115574</v>
      </c>
      <c r="N138" s="175">
        <f t="shared" si="71"/>
        <v>15458</v>
      </c>
      <c r="O138" s="175">
        <f>SUM(C138:N138)</f>
        <v>350481</v>
      </c>
      <c r="P138" s="149"/>
      <c r="Q138" s="149"/>
    </row>
    <row r="139" spans="1:17" ht="15" customHeight="1">
      <c r="A139" s="134"/>
      <c r="B139" s="163" t="s">
        <v>95</v>
      </c>
      <c r="C139" s="200">
        <f>SUM(C16,C91,C121,C136)</f>
        <v>8249121</v>
      </c>
      <c r="D139" s="200">
        <f aca="true" t="shared" si="72" ref="D139:O139">SUM(D16,D91,D121,D136)</f>
        <v>2586315</v>
      </c>
      <c r="E139" s="200">
        <f t="shared" si="72"/>
        <v>4399351</v>
      </c>
      <c r="F139" s="200">
        <f t="shared" si="72"/>
        <v>443</v>
      </c>
      <c r="G139" s="200">
        <f t="shared" si="72"/>
        <v>157503</v>
      </c>
      <c r="H139" s="200">
        <f t="shared" si="72"/>
        <v>1709</v>
      </c>
      <c r="I139" s="200">
        <f t="shared" si="72"/>
        <v>216</v>
      </c>
      <c r="J139" s="200">
        <f t="shared" si="72"/>
        <v>7499</v>
      </c>
      <c r="K139" s="200">
        <f t="shared" si="72"/>
        <v>0</v>
      </c>
      <c r="L139" s="200">
        <f t="shared" si="72"/>
        <v>70001</v>
      </c>
      <c r="M139" s="200">
        <f t="shared" si="72"/>
        <v>543966</v>
      </c>
      <c r="N139" s="200">
        <f t="shared" si="72"/>
        <v>128941</v>
      </c>
      <c r="O139" s="200">
        <f t="shared" si="72"/>
        <v>16145065</v>
      </c>
      <c r="P139" s="149"/>
      <c r="Q139" s="149"/>
    </row>
  </sheetData>
  <sheetProtection selectLockedCells="1" selectUnlockedCells="1"/>
  <mergeCells count="46"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</mergeCells>
  <printOptions gridLines="1" horizontalCentered="1" verticalCentered="1"/>
  <pageMargins left="0.4722222222222222" right="0.4722222222222222" top="0.8659722222222221" bottom="0.5902777777777778" header="0.5118055555555555" footer="0.5118055555555555"/>
  <pageSetup horizontalDpi="300" verticalDpi="300" orientation="landscape" paperSize="9" scale="74"/>
  <headerFooter alignWithMargins="0">
    <oddHeader>&amp;L/2008.(     .)rendelet
3/a. számú melléklete&amp;CKecskemét MJV Önkormányzata intézményeinek 2008. évi kiadási előirányzatainak  módosítása költségvetési szervenként, jogcím-csoportonkénti részletezettségben&amp;R3/a.sz táblázat
adatok:ezer Ft-ban</oddHeader>
  </headerFooter>
  <rowBreaks count="3" manualBreakCount="3">
    <brk id="40" max="255" man="1"/>
    <brk id="82" max="255" man="1"/>
    <brk id="12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workbookViewId="0" topLeftCell="A1">
      <pane xSplit="1" ySplit="4" topLeftCell="E38" activePane="bottomRight" state="frozen"/>
      <selection pane="topLeft" activeCell="A1" sqref="A1"/>
      <selection pane="topRight" activeCell="E1" sqref="E1"/>
      <selection pane="bottomLeft" activeCell="A38" sqref="A38"/>
      <selection pane="bottomRight" activeCell="O139" sqref="O139"/>
    </sheetView>
  </sheetViews>
  <sheetFormatPr defaultColWidth="9.140625" defaultRowHeight="15"/>
  <cols>
    <col min="1" max="1" width="32.28125" style="208" customWidth="1"/>
    <col min="2" max="2" width="7.00390625" style="208" customWidth="1"/>
    <col min="3" max="3" width="7.57421875" style="208" customWidth="1"/>
    <col min="4" max="4" width="7.28125" style="208" customWidth="1"/>
    <col min="5" max="5" width="7.421875" style="208" customWidth="1"/>
    <col min="6" max="7" width="7.00390625" style="208" customWidth="1"/>
    <col min="8" max="8" width="8.00390625" style="208" customWidth="1"/>
    <col min="9" max="9" width="7.140625" style="208" customWidth="1"/>
    <col min="10" max="10" width="8.00390625" style="208" customWidth="1"/>
    <col min="11" max="11" width="6.28125" style="208" customWidth="1"/>
    <col min="12" max="12" width="6.8515625" style="208" customWidth="1"/>
    <col min="13" max="13" width="8.140625" style="208" customWidth="1"/>
    <col min="14" max="14" width="9.140625" style="208" customWidth="1"/>
    <col min="15" max="15" width="8.140625" style="208" customWidth="1"/>
    <col min="16" max="16384" width="9.140625" style="208" customWidth="1"/>
  </cols>
  <sheetData>
    <row r="1" spans="1:15" ht="16.5" customHeight="1">
      <c r="A1" s="209" t="s">
        <v>156</v>
      </c>
      <c r="B1" s="210" t="s">
        <v>157</v>
      </c>
      <c r="C1" s="210"/>
      <c r="D1" s="210"/>
      <c r="E1" s="210"/>
      <c r="F1" s="210"/>
      <c r="G1" s="210"/>
      <c r="H1" s="210"/>
      <c r="I1" s="211" t="s">
        <v>158</v>
      </c>
      <c r="J1" s="211"/>
      <c r="K1" s="211"/>
      <c r="L1" s="211"/>
      <c r="M1" s="211"/>
      <c r="N1" s="211"/>
      <c r="O1" s="211"/>
    </row>
    <row r="2" spans="1:15" ht="27.75" customHeight="1">
      <c r="A2" s="209"/>
      <c r="B2" s="212" t="s">
        <v>159</v>
      </c>
      <c r="C2" s="212" t="s">
        <v>160</v>
      </c>
      <c r="D2" s="212" t="s">
        <v>161</v>
      </c>
      <c r="E2" s="212" t="s">
        <v>162</v>
      </c>
      <c r="F2" s="212" t="s">
        <v>163</v>
      </c>
      <c r="G2" s="212" t="s">
        <v>164</v>
      </c>
      <c r="H2" s="213" t="s">
        <v>165</v>
      </c>
      <c r="I2" s="214" t="s">
        <v>166</v>
      </c>
      <c r="J2" s="214" t="s">
        <v>160</v>
      </c>
      <c r="K2" s="214" t="s">
        <v>161</v>
      </c>
      <c r="L2" s="214" t="s">
        <v>162</v>
      </c>
      <c r="M2" s="215" t="s">
        <v>163</v>
      </c>
      <c r="N2" s="214" t="s">
        <v>167</v>
      </c>
      <c r="O2" s="214" t="s">
        <v>168</v>
      </c>
    </row>
    <row r="3" spans="1:15" s="222" customFormat="1" ht="13.5" customHeight="1">
      <c r="A3" s="216" t="s">
        <v>92</v>
      </c>
      <c r="B3" s="217">
        <v>97</v>
      </c>
      <c r="C3" s="217">
        <v>97</v>
      </c>
      <c r="D3" s="217">
        <v>97</v>
      </c>
      <c r="E3" s="217">
        <v>97</v>
      </c>
      <c r="F3" s="217">
        <v>97</v>
      </c>
      <c r="G3" s="217">
        <v>97</v>
      </c>
      <c r="H3" s="218">
        <v>97</v>
      </c>
      <c r="I3" s="217">
        <v>6.5</v>
      </c>
      <c r="J3" s="217">
        <v>6.5</v>
      </c>
      <c r="K3" s="217">
        <v>6.5</v>
      </c>
      <c r="L3" s="217">
        <v>6.5</v>
      </c>
      <c r="M3" s="219">
        <v>6.5</v>
      </c>
      <c r="N3" s="220">
        <v>6.5</v>
      </c>
      <c r="O3" s="221">
        <v>6.5</v>
      </c>
    </row>
    <row r="4" spans="1:15" s="222" customFormat="1" ht="24.75" customHeight="1">
      <c r="A4" s="223" t="s">
        <v>97</v>
      </c>
      <c r="B4" s="217">
        <v>467</v>
      </c>
      <c r="C4" s="217">
        <v>468</v>
      </c>
      <c r="D4" s="217">
        <v>468</v>
      </c>
      <c r="E4" s="217">
        <v>468</v>
      </c>
      <c r="F4" s="217">
        <v>468</v>
      </c>
      <c r="G4" s="217">
        <v>462.28</v>
      </c>
      <c r="H4" s="218">
        <v>462.28</v>
      </c>
      <c r="I4" s="217">
        <v>201</v>
      </c>
      <c r="J4" s="217">
        <v>201</v>
      </c>
      <c r="K4" s="217">
        <v>201</v>
      </c>
      <c r="L4" s="217">
        <v>201</v>
      </c>
      <c r="M4" s="219">
        <v>201</v>
      </c>
      <c r="N4" s="220">
        <v>206.72</v>
      </c>
      <c r="O4" s="221">
        <v>206.72</v>
      </c>
    </row>
    <row r="5" spans="1:15" s="222" customFormat="1" ht="13.5">
      <c r="A5" s="224" t="s">
        <v>96</v>
      </c>
      <c r="B5" s="217">
        <v>0</v>
      </c>
      <c r="C5" s="217">
        <v>0</v>
      </c>
      <c r="D5" s="217">
        <v>0</v>
      </c>
      <c r="E5" s="217">
        <v>0</v>
      </c>
      <c r="F5" s="217">
        <v>0</v>
      </c>
      <c r="G5" s="217">
        <v>0</v>
      </c>
      <c r="H5" s="218">
        <v>0</v>
      </c>
      <c r="I5" s="217">
        <v>0</v>
      </c>
      <c r="J5" s="217">
        <v>0</v>
      </c>
      <c r="K5" s="217">
        <v>0</v>
      </c>
      <c r="L5" s="217">
        <v>0</v>
      </c>
      <c r="M5" s="219">
        <v>0</v>
      </c>
      <c r="N5" s="220">
        <v>0</v>
      </c>
      <c r="O5" s="225">
        <v>0</v>
      </c>
    </row>
    <row r="6" spans="1:15" s="222" customFormat="1" ht="25.5" customHeight="1">
      <c r="A6" s="226" t="s">
        <v>98</v>
      </c>
      <c r="B6" s="227">
        <f aca="true" t="shared" si="0" ref="B6:N6">SUM(B3:B5)</f>
        <v>564</v>
      </c>
      <c r="C6" s="227">
        <f t="shared" si="0"/>
        <v>565</v>
      </c>
      <c r="D6" s="227">
        <v>565</v>
      </c>
      <c r="E6" s="227">
        <f t="shared" si="0"/>
        <v>565</v>
      </c>
      <c r="F6" s="227">
        <f t="shared" si="0"/>
        <v>565</v>
      </c>
      <c r="G6" s="227">
        <f t="shared" si="0"/>
        <v>559.28</v>
      </c>
      <c r="H6" s="228">
        <v>559.28</v>
      </c>
      <c r="I6" s="227">
        <f t="shared" si="0"/>
        <v>207.5</v>
      </c>
      <c r="J6" s="227">
        <f t="shared" si="0"/>
        <v>207.5</v>
      </c>
      <c r="K6" s="227">
        <f t="shared" si="0"/>
        <v>207.5</v>
      </c>
      <c r="L6" s="227">
        <f t="shared" si="0"/>
        <v>207.5</v>
      </c>
      <c r="M6" s="228">
        <f t="shared" si="0"/>
        <v>207.5</v>
      </c>
      <c r="N6" s="227">
        <f t="shared" si="0"/>
        <v>213.22</v>
      </c>
      <c r="O6" s="227">
        <v>213.22</v>
      </c>
    </row>
    <row r="7" spans="1:15" s="222" customFormat="1" ht="25.5" customHeight="1">
      <c r="A7" s="229" t="s">
        <v>99</v>
      </c>
      <c r="B7" s="230">
        <f>B6</f>
        <v>564</v>
      </c>
      <c r="C7" s="230">
        <f aca="true" t="shared" si="1" ref="C7:N7">C6</f>
        <v>565</v>
      </c>
      <c r="D7" s="230">
        <f t="shared" si="1"/>
        <v>565</v>
      </c>
      <c r="E7" s="230">
        <f t="shared" si="1"/>
        <v>565</v>
      </c>
      <c r="F7" s="230">
        <f t="shared" si="1"/>
        <v>565</v>
      </c>
      <c r="G7" s="230">
        <f t="shared" si="1"/>
        <v>559.28</v>
      </c>
      <c r="H7" s="231">
        <v>559.28</v>
      </c>
      <c r="I7" s="230">
        <f t="shared" si="1"/>
        <v>207.5</v>
      </c>
      <c r="J7" s="230">
        <f t="shared" si="1"/>
        <v>207.5</v>
      </c>
      <c r="K7" s="230">
        <f t="shared" si="1"/>
        <v>207.5</v>
      </c>
      <c r="L7" s="230">
        <f t="shared" si="1"/>
        <v>207.5</v>
      </c>
      <c r="M7" s="231">
        <f t="shared" si="1"/>
        <v>207.5</v>
      </c>
      <c r="N7" s="230">
        <f t="shared" si="1"/>
        <v>213.22</v>
      </c>
      <c r="O7" s="230">
        <v>213.22</v>
      </c>
    </row>
    <row r="8" spans="1:15" s="222" customFormat="1" ht="13.5">
      <c r="A8" s="232" t="s">
        <v>100</v>
      </c>
      <c r="B8" s="233">
        <v>232.5</v>
      </c>
      <c r="C8" s="233">
        <v>232.5</v>
      </c>
      <c r="D8" s="233">
        <v>232.5</v>
      </c>
      <c r="E8" s="233">
        <v>227.5</v>
      </c>
      <c r="F8" s="233">
        <v>227.5</v>
      </c>
      <c r="G8" s="233">
        <v>227.5</v>
      </c>
      <c r="H8" s="234">
        <v>227.5</v>
      </c>
      <c r="I8" s="233">
        <v>82</v>
      </c>
      <c r="J8" s="233">
        <v>82</v>
      </c>
      <c r="K8" s="233">
        <v>82</v>
      </c>
      <c r="L8" s="233">
        <v>82</v>
      </c>
      <c r="M8" s="235">
        <v>82</v>
      </c>
      <c r="N8" s="236">
        <v>82</v>
      </c>
      <c r="O8" s="236">
        <v>82</v>
      </c>
    </row>
    <row r="9" spans="1:15" s="222" customFormat="1" ht="13.5">
      <c r="A9" s="224" t="s">
        <v>101</v>
      </c>
      <c r="B9" s="237">
        <v>12.5</v>
      </c>
      <c r="C9" s="237">
        <v>12.5</v>
      </c>
      <c r="D9" s="237">
        <v>12.5</v>
      </c>
      <c r="E9" s="237">
        <v>12.5</v>
      </c>
      <c r="F9" s="237">
        <v>15</v>
      </c>
      <c r="G9" s="237">
        <v>15</v>
      </c>
      <c r="H9" s="238">
        <v>15</v>
      </c>
      <c r="I9" s="237">
        <v>2.25</v>
      </c>
      <c r="J9" s="237">
        <v>2.25</v>
      </c>
      <c r="K9" s="237">
        <v>2.25</v>
      </c>
      <c r="L9" s="237">
        <v>2.25</v>
      </c>
      <c r="M9" s="239">
        <v>2.25</v>
      </c>
      <c r="N9" s="240">
        <v>2.25</v>
      </c>
      <c r="O9" s="240">
        <v>2.25</v>
      </c>
    </row>
    <row r="10" spans="1:15" s="222" customFormat="1" ht="22.5" customHeight="1">
      <c r="A10" s="226" t="s">
        <v>102</v>
      </c>
      <c r="B10" s="241">
        <f aca="true" t="shared" si="2" ref="B10:N10">SUM(B8:B9)</f>
        <v>245</v>
      </c>
      <c r="C10" s="241">
        <f t="shared" si="2"/>
        <v>245</v>
      </c>
      <c r="D10" s="241">
        <v>245</v>
      </c>
      <c r="E10" s="241">
        <f t="shared" si="2"/>
        <v>240</v>
      </c>
      <c r="F10" s="241">
        <f>SUM(F8:F9)</f>
        <v>242.5</v>
      </c>
      <c r="G10" s="241">
        <f>SUM(G8:G9)</f>
        <v>242.5</v>
      </c>
      <c r="H10" s="242">
        <v>242.5</v>
      </c>
      <c r="I10" s="241">
        <f t="shared" si="2"/>
        <v>84.25</v>
      </c>
      <c r="J10" s="241">
        <f t="shared" si="2"/>
        <v>84.25</v>
      </c>
      <c r="K10" s="241">
        <f t="shared" si="2"/>
        <v>84.25</v>
      </c>
      <c r="L10" s="241">
        <f t="shared" si="2"/>
        <v>84.25</v>
      </c>
      <c r="M10" s="242">
        <f t="shared" si="2"/>
        <v>84.25</v>
      </c>
      <c r="N10" s="241">
        <f t="shared" si="2"/>
        <v>84.25</v>
      </c>
      <c r="O10" s="241">
        <v>84.25</v>
      </c>
    </row>
    <row r="11" spans="1:15" s="222" customFormat="1" ht="15.75" customHeight="1">
      <c r="A11" s="226" t="s">
        <v>103</v>
      </c>
      <c r="B11" s="227">
        <v>143</v>
      </c>
      <c r="C11" s="227">
        <v>143</v>
      </c>
      <c r="D11" s="227">
        <v>143</v>
      </c>
      <c r="E11" s="227">
        <v>150</v>
      </c>
      <c r="F11" s="227">
        <v>150</v>
      </c>
      <c r="G11" s="227">
        <v>150</v>
      </c>
      <c r="H11" s="228">
        <v>150</v>
      </c>
      <c r="I11" s="227">
        <v>69.75</v>
      </c>
      <c r="J11" s="227">
        <v>69.75</v>
      </c>
      <c r="K11" s="227">
        <v>69.75</v>
      </c>
      <c r="L11" s="227">
        <v>71.75</v>
      </c>
      <c r="M11" s="243">
        <v>71.75</v>
      </c>
      <c r="N11" s="244">
        <v>71.75</v>
      </c>
      <c r="O11" s="244">
        <v>71.75</v>
      </c>
    </row>
    <row r="12" spans="1:15" s="222" customFormat="1" ht="25.5" customHeight="1">
      <c r="A12" s="226" t="s">
        <v>169</v>
      </c>
      <c r="B12" s="227">
        <v>164</v>
      </c>
      <c r="C12" s="227">
        <v>164</v>
      </c>
      <c r="D12" s="227">
        <v>164</v>
      </c>
      <c r="E12" s="227">
        <v>164</v>
      </c>
      <c r="F12" s="227">
        <v>163</v>
      </c>
      <c r="G12" s="227">
        <v>163</v>
      </c>
      <c r="H12" s="228">
        <v>163</v>
      </c>
      <c r="I12" s="227">
        <v>66.25</v>
      </c>
      <c r="J12" s="227">
        <v>66.25</v>
      </c>
      <c r="K12" s="227">
        <v>66.25</v>
      </c>
      <c r="L12" s="227">
        <v>66.25</v>
      </c>
      <c r="M12" s="243">
        <v>66.25</v>
      </c>
      <c r="N12" s="244">
        <v>66.25</v>
      </c>
      <c r="O12" s="244">
        <v>66.25</v>
      </c>
    </row>
    <row r="13" spans="1:15" s="222" customFormat="1" ht="13.5">
      <c r="A13" s="224" t="s">
        <v>105</v>
      </c>
      <c r="B13" s="217">
        <v>201</v>
      </c>
      <c r="C13" s="217">
        <v>201</v>
      </c>
      <c r="D13" s="217">
        <v>201</v>
      </c>
      <c r="E13" s="217">
        <v>196</v>
      </c>
      <c r="F13" s="217">
        <v>196</v>
      </c>
      <c r="G13" s="217">
        <v>196</v>
      </c>
      <c r="H13" s="218">
        <v>196</v>
      </c>
      <c r="I13" s="217">
        <v>68.5</v>
      </c>
      <c r="J13" s="217">
        <v>68.5</v>
      </c>
      <c r="K13" s="217">
        <v>68.5</v>
      </c>
      <c r="L13" s="217">
        <v>68.5</v>
      </c>
      <c r="M13" s="219">
        <v>68.5</v>
      </c>
      <c r="N13" s="220">
        <v>68.5</v>
      </c>
      <c r="O13" s="220">
        <v>68.5</v>
      </c>
    </row>
    <row r="14" spans="1:15" s="222" customFormat="1" ht="21.75">
      <c r="A14" s="224" t="s">
        <v>106</v>
      </c>
      <c r="B14" s="217">
        <v>68</v>
      </c>
      <c r="C14" s="217">
        <v>68</v>
      </c>
      <c r="D14" s="217">
        <v>68</v>
      </c>
      <c r="E14" s="217">
        <v>75</v>
      </c>
      <c r="F14" s="217">
        <v>73</v>
      </c>
      <c r="G14" s="217">
        <v>73</v>
      </c>
      <c r="H14" s="218">
        <v>73</v>
      </c>
      <c r="I14" s="217">
        <v>23</v>
      </c>
      <c r="J14" s="217">
        <v>23</v>
      </c>
      <c r="K14" s="217">
        <v>23</v>
      </c>
      <c r="L14" s="217">
        <v>23</v>
      </c>
      <c r="M14" s="219">
        <v>25</v>
      </c>
      <c r="N14" s="220">
        <v>25</v>
      </c>
      <c r="O14" s="220">
        <v>25</v>
      </c>
    </row>
    <row r="15" spans="1:15" s="222" customFormat="1" ht="22.5" customHeight="1">
      <c r="A15" s="226" t="s">
        <v>107</v>
      </c>
      <c r="B15" s="227">
        <f aca="true" t="shared" si="3" ref="B15:K15">SUM(B13:B14)</f>
        <v>269</v>
      </c>
      <c r="C15" s="227">
        <f t="shared" si="3"/>
        <v>269</v>
      </c>
      <c r="D15" s="227">
        <v>269</v>
      </c>
      <c r="E15" s="227">
        <f t="shared" si="3"/>
        <v>271</v>
      </c>
      <c r="F15" s="227">
        <f t="shared" si="3"/>
        <v>269</v>
      </c>
      <c r="G15" s="227">
        <f t="shared" si="3"/>
        <v>269</v>
      </c>
      <c r="H15" s="228">
        <v>269</v>
      </c>
      <c r="I15" s="227">
        <f t="shared" si="3"/>
        <v>91.5</v>
      </c>
      <c r="J15" s="227">
        <f t="shared" si="3"/>
        <v>91.5</v>
      </c>
      <c r="K15" s="227">
        <f t="shared" si="3"/>
        <v>91.5</v>
      </c>
      <c r="L15" s="227">
        <v>91.5</v>
      </c>
      <c r="M15" s="243">
        <v>93.5</v>
      </c>
      <c r="N15" s="244">
        <v>93.5</v>
      </c>
      <c r="O15" s="244">
        <v>93.5</v>
      </c>
    </row>
    <row r="16" spans="1:15" s="222" customFormat="1" ht="25.5" customHeight="1">
      <c r="A16" s="226" t="s">
        <v>108</v>
      </c>
      <c r="B16" s="227">
        <v>151</v>
      </c>
      <c r="C16" s="227">
        <v>151</v>
      </c>
      <c r="D16" s="227">
        <v>151</v>
      </c>
      <c r="E16" s="227">
        <v>151</v>
      </c>
      <c r="F16" s="227">
        <v>151</v>
      </c>
      <c r="G16" s="227">
        <v>151</v>
      </c>
      <c r="H16" s="228">
        <v>151</v>
      </c>
      <c r="I16" s="227">
        <v>47.5</v>
      </c>
      <c r="J16" s="227">
        <v>47.5</v>
      </c>
      <c r="K16" s="227">
        <v>47.5</v>
      </c>
      <c r="L16" s="227">
        <v>47.5</v>
      </c>
      <c r="M16" s="243">
        <v>47.5</v>
      </c>
      <c r="N16" s="244">
        <v>47.5</v>
      </c>
      <c r="O16" s="244">
        <v>47.5</v>
      </c>
    </row>
    <row r="17" spans="1:15" s="222" customFormat="1" ht="24" customHeight="1">
      <c r="A17" s="224" t="s">
        <v>109</v>
      </c>
      <c r="B17" s="217">
        <v>51</v>
      </c>
      <c r="C17" s="217">
        <v>51</v>
      </c>
      <c r="D17" s="217">
        <v>51</v>
      </c>
      <c r="E17" s="217">
        <v>51</v>
      </c>
      <c r="F17" s="217">
        <v>51</v>
      </c>
      <c r="G17" s="217">
        <v>51</v>
      </c>
      <c r="H17" s="218">
        <v>51</v>
      </c>
      <c r="I17" s="217">
        <v>20.25</v>
      </c>
      <c r="J17" s="217">
        <v>20.25</v>
      </c>
      <c r="K17" s="217">
        <v>20.25</v>
      </c>
      <c r="L17" s="217">
        <v>20.25</v>
      </c>
      <c r="M17" s="219">
        <v>20.25</v>
      </c>
      <c r="N17" s="220">
        <v>20.25</v>
      </c>
      <c r="O17" s="220">
        <v>20.25</v>
      </c>
    </row>
    <row r="18" spans="1:15" s="222" customFormat="1" ht="12" customHeight="1">
      <c r="A18" s="224" t="s">
        <v>110</v>
      </c>
      <c r="B18" s="217">
        <v>33.7</v>
      </c>
      <c r="C18" s="217">
        <v>33.7</v>
      </c>
      <c r="D18" s="217">
        <v>33.7</v>
      </c>
      <c r="E18" s="217">
        <v>33.7</v>
      </c>
      <c r="F18" s="217">
        <v>33.7</v>
      </c>
      <c r="G18" s="217">
        <v>33.7</v>
      </c>
      <c r="H18" s="218">
        <v>33.7</v>
      </c>
      <c r="I18" s="217">
        <v>14.5</v>
      </c>
      <c r="J18" s="217">
        <v>14.5</v>
      </c>
      <c r="K18" s="217">
        <v>14.5</v>
      </c>
      <c r="L18" s="217">
        <v>14.5</v>
      </c>
      <c r="M18" s="219">
        <v>14.5</v>
      </c>
      <c r="N18" s="220">
        <v>14.5</v>
      </c>
      <c r="O18" s="220">
        <v>14.5</v>
      </c>
    </row>
    <row r="19" spans="1:15" s="222" customFormat="1" ht="13.5" customHeight="1">
      <c r="A19" s="224" t="s">
        <v>111</v>
      </c>
      <c r="B19" s="217">
        <v>46.65</v>
      </c>
      <c r="C19" s="217">
        <v>46.65</v>
      </c>
      <c r="D19" s="217">
        <v>46.65</v>
      </c>
      <c r="E19" s="217">
        <v>46.65</v>
      </c>
      <c r="F19" s="217">
        <v>46.65</v>
      </c>
      <c r="G19" s="217">
        <v>46.65</v>
      </c>
      <c r="H19" s="218">
        <v>46.65</v>
      </c>
      <c r="I19" s="217">
        <v>15.75</v>
      </c>
      <c r="J19" s="217">
        <v>15.75</v>
      </c>
      <c r="K19" s="217">
        <v>15.75</v>
      </c>
      <c r="L19" s="217">
        <v>15.75</v>
      </c>
      <c r="M19" s="219">
        <v>15.75</v>
      </c>
      <c r="N19" s="220">
        <v>15.75</v>
      </c>
      <c r="O19" s="220">
        <v>15.75</v>
      </c>
    </row>
    <row r="20" spans="1:15" s="222" customFormat="1" ht="13.5">
      <c r="A20" s="223" t="s">
        <v>112</v>
      </c>
      <c r="B20" s="217">
        <v>13</v>
      </c>
      <c r="C20" s="217">
        <v>13</v>
      </c>
      <c r="D20" s="217">
        <v>13</v>
      </c>
      <c r="E20" s="217">
        <v>13</v>
      </c>
      <c r="F20" s="217">
        <v>13</v>
      </c>
      <c r="G20" s="217">
        <v>13</v>
      </c>
      <c r="H20" s="218">
        <v>13</v>
      </c>
      <c r="I20" s="217">
        <v>11.25</v>
      </c>
      <c r="J20" s="217">
        <v>11.25</v>
      </c>
      <c r="K20" s="217">
        <v>11.25</v>
      </c>
      <c r="L20" s="217">
        <v>11.25</v>
      </c>
      <c r="M20" s="219">
        <v>11.25</v>
      </c>
      <c r="N20" s="220">
        <v>11.25</v>
      </c>
      <c r="O20" s="220">
        <v>11.25</v>
      </c>
    </row>
    <row r="21" spans="1:15" s="222" customFormat="1" ht="16.5" customHeight="1">
      <c r="A21" s="226" t="s">
        <v>170</v>
      </c>
      <c r="B21" s="227">
        <f aca="true" t="shared" si="4" ref="B21:N21">SUM(B17:B20)</f>
        <v>144.35</v>
      </c>
      <c r="C21" s="227">
        <f t="shared" si="4"/>
        <v>144.35</v>
      </c>
      <c r="D21" s="227">
        <v>144.35</v>
      </c>
      <c r="E21" s="227">
        <f t="shared" si="4"/>
        <v>144.35</v>
      </c>
      <c r="F21" s="227">
        <f t="shared" si="4"/>
        <v>144.35</v>
      </c>
      <c r="G21" s="227">
        <f t="shared" si="4"/>
        <v>144.35</v>
      </c>
      <c r="H21" s="228">
        <v>144.35</v>
      </c>
      <c r="I21" s="227">
        <f t="shared" si="4"/>
        <v>61.75</v>
      </c>
      <c r="J21" s="227">
        <f t="shared" si="4"/>
        <v>61.75</v>
      </c>
      <c r="K21" s="227">
        <f t="shared" si="4"/>
        <v>61.75</v>
      </c>
      <c r="L21" s="227">
        <f t="shared" si="4"/>
        <v>61.75</v>
      </c>
      <c r="M21" s="228">
        <f t="shared" si="4"/>
        <v>61.75</v>
      </c>
      <c r="N21" s="227">
        <f t="shared" si="4"/>
        <v>61.75</v>
      </c>
      <c r="O21" s="227">
        <v>61.75</v>
      </c>
    </row>
    <row r="22" spans="1:15" s="222" customFormat="1" ht="12.75" customHeight="1">
      <c r="A22" s="216" t="s">
        <v>114</v>
      </c>
      <c r="B22" s="217">
        <v>111</v>
      </c>
      <c r="C22" s="217">
        <v>111</v>
      </c>
      <c r="D22" s="217">
        <v>0</v>
      </c>
      <c r="E22" s="217">
        <v>0</v>
      </c>
      <c r="F22" s="217">
        <v>0</v>
      </c>
      <c r="G22" s="217">
        <v>0</v>
      </c>
      <c r="H22" s="218">
        <v>0</v>
      </c>
      <c r="I22" s="217">
        <v>58</v>
      </c>
      <c r="J22" s="217">
        <v>58</v>
      </c>
      <c r="K22" s="217">
        <v>0</v>
      </c>
      <c r="L22" s="217">
        <v>0</v>
      </c>
      <c r="M22" s="219">
        <v>0</v>
      </c>
      <c r="N22" s="220">
        <v>0</v>
      </c>
      <c r="O22" s="220">
        <v>0</v>
      </c>
    </row>
    <row r="23" spans="1:15" s="222" customFormat="1" ht="15.75" customHeight="1">
      <c r="A23" s="224" t="s">
        <v>116</v>
      </c>
      <c r="B23" s="217">
        <v>41</v>
      </c>
      <c r="C23" s="217">
        <v>41</v>
      </c>
      <c r="D23" s="217">
        <v>0</v>
      </c>
      <c r="E23" s="217">
        <v>0</v>
      </c>
      <c r="F23" s="217">
        <v>0</v>
      </c>
      <c r="G23" s="217">
        <v>0</v>
      </c>
      <c r="H23" s="218">
        <v>0</v>
      </c>
      <c r="I23" s="217">
        <v>10.5</v>
      </c>
      <c r="J23" s="217">
        <v>10.5</v>
      </c>
      <c r="K23" s="217">
        <v>0</v>
      </c>
      <c r="L23" s="217">
        <v>0</v>
      </c>
      <c r="M23" s="219">
        <v>0</v>
      </c>
      <c r="N23" s="220">
        <v>0</v>
      </c>
      <c r="O23" s="220">
        <v>0</v>
      </c>
    </row>
    <row r="24" spans="1:15" s="222" customFormat="1" ht="23.25" customHeight="1">
      <c r="A24" s="224" t="s">
        <v>117</v>
      </c>
      <c r="B24" s="217">
        <v>44</v>
      </c>
      <c r="C24" s="217">
        <v>44</v>
      </c>
      <c r="D24" s="217">
        <v>0</v>
      </c>
      <c r="E24" s="217">
        <v>0</v>
      </c>
      <c r="F24" s="217">
        <v>0</v>
      </c>
      <c r="G24" s="217">
        <v>0</v>
      </c>
      <c r="H24" s="218">
        <v>0</v>
      </c>
      <c r="I24" s="217">
        <v>15</v>
      </c>
      <c r="J24" s="217">
        <v>15</v>
      </c>
      <c r="K24" s="217">
        <v>0</v>
      </c>
      <c r="L24" s="217">
        <v>0</v>
      </c>
      <c r="M24" s="219">
        <v>0</v>
      </c>
      <c r="N24" s="220">
        <v>0</v>
      </c>
      <c r="O24" s="220">
        <v>0</v>
      </c>
    </row>
    <row r="25" spans="1:15" s="222" customFormat="1" ht="15.75" customHeight="1">
      <c r="A25" s="224" t="s">
        <v>118</v>
      </c>
      <c r="B25" s="217">
        <v>99</v>
      </c>
      <c r="C25" s="217">
        <v>99</v>
      </c>
      <c r="D25" s="217">
        <v>0</v>
      </c>
      <c r="E25" s="217">
        <v>0</v>
      </c>
      <c r="F25" s="217">
        <v>0</v>
      </c>
      <c r="G25" s="217">
        <v>0</v>
      </c>
      <c r="H25" s="218">
        <v>0</v>
      </c>
      <c r="I25" s="217">
        <v>21.5</v>
      </c>
      <c r="J25" s="217">
        <v>21.5</v>
      </c>
      <c r="K25" s="217">
        <v>0</v>
      </c>
      <c r="L25" s="217">
        <v>0</v>
      </c>
      <c r="M25" s="219">
        <v>0</v>
      </c>
      <c r="N25" s="220">
        <v>0</v>
      </c>
      <c r="O25" s="220">
        <v>0</v>
      </c>
    </row>
    <row r="26" spans="1:15" s="222" customFormat="1" ht="23.25" customHeight="1">
      <c r="A26" s="224" t="s">
        <v>119</v>
      </c>
      <c r="B26" s="217">
        <v>49</v>
      </c>
      <c r="C26" s="217">
        <v>49</v>
      </c>
      <c r="D26" s="217">
        <v>0</v>
      </c>
      <c r="E26" s="217">
        <v>0</v>
      </c>
      <c r="F26" s="217">
        <v>0</v>
      </c>
      <c r="G26" s="217">
        <v>0</v>
      </c>
      <c r="H26" s="218">
        <v>0</v>
      </c>
      <c r="I26" s="217">
        <v>22</v>
      </c>
      <c r="J26" s="217">
        <v>22</v>
      </c>
      <c r="K26" s="217">
        <v>0</v>
      </c>
      <c r="L26" s="217">
        <v>0</v>
      </c>
      <c r="M26" s="219">
        <v>0</v>
      </c>
      <c r="N26" s="220">
        <v>0</v>
      </c>
      <c r="O26" s="220">
        <v>0</v>
      </c>
    </row>
    <row r="27" spans="1:15" s="222" customFormat="1" ht="23.25" customHeight="1">
      <c r="A27" s="224" t="s">
        <v>120</v>
      </c>
      <c r="B27" s="217">
        <v>58</v>
      </c>
      <c r="C27" s="217">
        <v>58</v>
      </c>
      <c r="D27" s="217">
        <v>0</v>
      </c>
      <c r="E27" s="217">
        <v>0</v>
      </c>
      <c r="F27" s="217">
        <v>0</v>
      </c>
      <c r="G27" s="217">
        <v>0</v>
      </c>
      <c r="H27" s="218">
        <v>0</v>
      </c>
      <c r="I27" s="217">
        <v>21.5</v>
      </c>
      <c r="J27" s="217">
        <v>21.5</v>
      </c>
      <c r="K27" s="217">
        <v>0</v>
      </c>
      <c r="L27" s="217">
        <v>0</v>
      </c>
      <c r="M27" s="219">
        <v>0</v>
      </c>
      <c r="N27" s="220">
        <v>0</v>
      </c>
      <c r="O27" s="220">
        <v>0</v>
      </c>
    </row>
    <row r="28" spans="1:15" s="222" customFormat="1" ht="15.75" customHeight="1">
      <c r="A28" s="223" t="s">
        <v>121</v>
      </c>
      <c r="B28" s="217">
        <v>23</v>
      </c>
      <c r="C28" s="217">
        <v>23</v>
      </c>
      <c r="D28" s="217">
        <v>0</v>
      </c>
      <c r="E28" s="217">
        <v>0</v>
      </c>
      <c r="F28" s="217">
        <v>0</v>
      </c>
      <c r="G28" s="217">
        <v>0</v>
      </c>
      <c r="H28" s="218">
        <v>0</v>
      </c>
      <c r="I28" s="217">
        <v>2</v>
      </c>
      <c r="J28" s="217">
        <v>2</v>
      </c>
      <c r="K28" s="217">
        <v>0</v>
      </c>
      <c r="L28" s="217">
        <v>0</v>
      </c>
      <c r="M28" s="219">
        <v>0</v>
      </c>
      <c r="N28" s="220">
        <v>0</v>
      </c>
      <c r="O28" s="220">
        <v>0</v>
      </c>
    </row>
    <row r="29" spans="1:15" s="222" customFormat="1" ht="15.75" customHeight="1">
      <c r="A29" s="226" t="s">
        <v>171</v>
      </c>
      <c r="B29" s="245">
        <f aca="true" t="shared" si="5" ref="B29:N29">SUM(B22:B28)</f>
        <v>425</v>
      </c>
      <c r="C29" s="227">
        <f t="shared" si="5"/>
        <v>425</v>
      </c>
      <c r="D29" s="227">
        <f t="shared" si="5"/>
        <v>0</v>
      </c>
      <c r="E29" s="227">
        <f t="shared" si="5"/>
        <v>0</v>
      </c>
      <c r="F29" s="227">
        <f t="shared" si="5"/>
        <v>0</v>
      </c>
      <c r="G29" s="227">
        <f t="shared" si="5"/>
        <v>0</v>
      </c>
      <c r="H29" s="228">
        <v>0</v>
      </c>
      <c r="I29" s="227">
        <f t="shared" si="5"/>
        <v>150.5</v>
      </c>
      <c r="J29" s="227">
        <f t="shared" si="5"/>
        <v>150.5</v>
      </c>
      <c r="K29" s="227">
        <f t="shared" si="5"/>
        <v>0</v>
      </c>
      <c r="L29" s="227">
        <f t="shared" si="5"/>
        <v>0</v>
      </c>
      <c r="M29" s="228">
        <f t="shared" si="5"/>
        <v>0</v>
      </c>
      <c r="N29" s="227">
        <f t="shared" si="5"/>
        <v>0</v>
      </c>
      <c r="O29" s="227">
        <v>0</v>
      </c>
    </row>
    <row r="30" spans="1:15" s="222" customFormat="1" ht="22.5" customHeight="1">
      <c r="A30" s="246" t="s">
        <v>123</v>
      </c>
      <c r="B30" s="245">
        <v>0</v>
      </c>
      <c r="C30" s="227">
        <v>0</v>
      </c>
      <c r="D30" s="227">
        <v>225</v>
      </c>
      <c r="E30" s="227">
        <v>225</v>
      </c>
      <c r="F30" s="227">
        <v>225</v>
      </c>
      <c r="G30" s="227">
        <v>225</v>
      </c>
      <c r="H30" s="228">
        <v>225</v>
      </c>
      <c r="I30" s="227">
        <v>0</v>
      </c>
      <c r="J30" s="227">
        <v>0</v>
      </c>
      <c r="K30" s="227">
        <v>80.5</v>
      </c>
      <c r="L30" s="227">
        <v>80.5</v>
      </c>
      <c r="M30" s="243">
        <v>80.5</v>
      </c>
      <c r="N30" s="244">
        <v>80.5</v>
      </c>
      <c r="O30" s="244">
        <v>80.5</v>
      </c>
    </row>
    <row r="31" spans="1:15" s="222" customFormat="1" ht="22.5" customHeight="1">
      <c r="A31" s="246" t="s">
        <v>124</v>
      </c>
      <c r="B31" s="245">
        <v>0</v>
      </c>
      <c r="C31" s="227">
        <v>0</v>
      </c>
      <c r="D31" s="227">
        <v>192</v>
      </c>
      <c r="E31" s="227">
        <v>192</v>
      </c>
      <c r="F31" s="227">
        <v>192</v>
      </c>
      <c r="G31" s="227">
        <v>192</v>
      </c>
      <c r="H31" s="228">
        <v>192</v>
      </c>
      <c r="I31" s="227">
        <v>0</v>
      </c>
      <c r="J31" s="227">
        <v>0</v>
      </c>
      <c r="K31" s="227">
        <v>75</v>
      </c>
      <c r="L31" s="227">
        <v>75</v>
      </c>
      <c r="M31" s="243">
        <v>75</v>
      </c>
      <c r="N31" s="244">
        <v>75</v>
      </c>
      <c r="O31" s="244">
        <v>75</v>
      </c>
    </row>
    <row r="32" spans="1:15" s="222" customFormat="1" ht="15.75" customHeight="1">
      <c r="A32" s="247" t="s">
        <v>125</v>
      </c>
      <c r="B32" s="245">
        <f>SUM(B10+B11+B12+B15+B16+B21+B29+B30+B31)</f>
        <v>1541.35</v>
      </c>
      <c r="C32" s="245">
        <f aca="true" t="shared" si="6" ref="C32:N32">SUM(C10+C11+C12+C15+C16+C21+C29+C30+C31)</f>
        <v>1541.35</v>
      </c>
      <c r="D32" s="245">
        <f t="shared" si="6"/>
        <v>1533.35</v>
      </c>
      <c r="E32" s="245">
        <f t="shared" si="6"/>
        <v>1537.35</v>
      </c>
      <c r="F32" s="245">
        <f>SUM(F10,F11,F12,F15,F16,F21,F29,F30,F31)</f>
        <v>1536.85</v>
      </c>
      <c r="G32" s="245">
        <f>SUM(G10,G11,G12,G15,G16,G21,G29,G30,G31)</f>
        <v>1536.85</v>
      </c>
      <c r="H32" s="248">
        <v>1536.85</v>
      </c>
      <c r="I32" s="227">
        <f t="shared" si="6"/>
        <v>571.5</v>
      </c>
      <c r="J32" s="245">
        <f t="shared" si="6"/>
        <v>571.5</v>
      </c>
      <c r="K32" s="245">
        <f t="shared" si="6"/>
        <v>576.5</v>
      </c>
      <c r="L32" s="245">
        <f t="shared" si="6"/>
        <v>578.5</v>
      </c>
      <c r="M32" s="248">
        <f t="shared" si="6"/>
        <v>580.5</v>
      </c>
      <c r="N32" s="227">
        <f t="shared" si="6"/>
        <v>580.5</v>
      </c>
      <c r="O32" s="227">
        <v>580.5</v>
      </c>
    </row>
    <row r="33" spans="1:15" s="222" customFormat="1" ht="23.25" customHeight="1">
      <c r="A33" s="223" t="s">
        <v>126</v>
      </c>
      <c r="B33" s="217">
        <v>14</v>
      </c>
      <c r="C33" s="217">
        <v>14</v>
      </c>
      <c r="D33" s="217">
        <v>14</v>
      </c>
      <c r="E33" s="217">
        <v>14</v>
      </c>
      <c r="F33" s="217">
        <v>14</v>
      </c>
      <c r="G33" s="217">
        <v>14</v>
      </c>
      <c r="H33" s="218">
        <v>14</v>
      </c>
      <c r="I33" s="217">
        <v>49.75</v>
      </c>
      <c r="J33" s="217">
        <v>50.75</v>
      </c>
      <c r="K33" s="217">
        <v>50.75</v>
      </c>
      <c r="L33" s="217">
        <v>50.75</v>
      </c>
      <c r="M33" s="219">
        <v>50.75</v>
      </c>
      <c r="N33" s="220">
        <v>50.75</v>
      </c>
      <c r="O33" s="221">
        <v>50.75</v>
      </c>
    </row>
    <row r="34" spans="1:15" s="222" customFormat="1" ht="15.75" customHeight="1">
      <c r="A34" s="224" t="s">
        <v>127</v>
      </c>
      <c r="B34" s="217">
        <v>3.5</v>
      </c>
      <c r="C34" s="217">
        <v>3.5</v>
      </c>
      <c r="D34" s="217">
        <v>3.5</v>
      </c>
      <c r="E34" s="217">
        <v>3.5</v>
      </c>
      <c r="F34" s="217">
        <v>3.5</v>
      </c>
      <c r="G34" s="217">
        <v>3.5</v>
      </c>
      <c r="H34" s="218">
        <v>3.5</v>
      </c>
      <c r="I34" s="217">
        <v>4.25</v>
      </c>
      <c r="J34" s="217">
        <v>4.25</v>
      </c>
      <c r="K34" s="217">
        <v>4.25</v>
      </c>
      <c r="L34" s="217">
        <v>4.25</v>
      </c>
      <c r="M34" s="219">
        <v>4.25</v>
      </c>
      <c r="N34" s="220">
        <v>4.25</v>
      </c>
      <c r="O34" s="221">
        <v>4.25</v>
      </c>
    </row>
    <row r="35" spans="1:15" s="222" customFormat="1" ht="24.75" customHeight="1">
      <c r="A35" s="224" t="s">
        <v>128</v>
      </c>
      <c r="B35" s="217">
        <v>5.25</v>
      </c>
      <c r="C35" s="217">
        <v>5.25</v>
      </c>
      <c r="D35" s="217">
        <v>5.25</v>
      </c>
      <c r="E35" s="217">
        <v>5.25</v>
      </c>
      <c r="F35" s="217">
        <v>5.25</v>
      </c>
      <c r="G35" s="217">
        <v>6.25</v>
      </c>
      <c r="H35" s="218">
        <v>6.25</v>
      </c>
      <c r="I35" s="217">
        <v>0.5</v>
      </c>
      <c r="J35" s="217">
        <v>0.5</v>
      </c>
      <c r="K35" s="217">
        <v>0.5</v>
      </c>
      <c r="L35" s="217">
        <v>0.5</v>
      </c>
      <c r="M35" s="219">
        <v>0.5</v>
      </c>
      <c r="N35" s="220">
        <v>0.5</v>
      </c>
      <c r="O35" s="221">
        <v>0.5</v>
      </c>
    </row>
    <row r="36" spans="1:15" s="222" customFormat="1" ht="15.75" customHeight="1">
      <c r="A36" s="249" t="s">
        <v>129</v>
      </c>
      <c r="B36" s="217">
        <v>2</v>
      </c>
      <c r="C36" s="217">
        <v>2</v>
      </c>
      <c r="D36" s="217">
        <v>2</v>
      </c>
      <c r="E36" s="217">
        <v>2</v>
      </c>
      <c r="F36" s="217">
        <v>2</v>
      </c>
      <c r="G36" s="217">
        <v>2</v>
      </c>
      <c r="H36" s="218">
        <v>2</v>
      </c>
      <c r="I36" s="217">
        <v>3.5</v>
      </c>
      <c r="J36" s="217">
        <v>1.5</v>
      </c>
      <c r="K36" s="217">
        <v>1.5</v>
      </c>
      <c r="L36" s="217">
        <v>1.5</v>
      </c>
      <c r="M36" s="219">
        <v>1.5</v>
      </c>
      <c r="N36" s="220">
        <v>1.5</v>
      </c>
      <c r="O36" s="221">
        <v>1.5</v>
      </c>
    </row>
    <row r="37" spans="1:15" s="222" customFormat="1" ht="21.75">
      <c r="A37" s="229" t="s">
        <v>130</v>
      </c>
      <c r="B37" s="227">
        <f aca="true" t="shared" si="7" ref="B37:N37">SUM(B33:B36)</f>
        <v>24.75</v>
      </c>
      <c r="C37" s="227">
        <f t="shared" si="7"/>
        <v>24.75</v>
      </c>
      <c r="D37" s="227">
        <v>24.75</v>
      </c>
      <c r="E37" s="227">
        <f t="shared" si="7"/>
        <v>24.75</v>
      </c>
      <c r="F37" s="227">
        <f>SUM(F33:F36)</f>
        <v>24.75</v>
      </c>
      <c r="G37" s="227">
        <f>SUM(G33:G36)</f>
        <v>25.75</v>
      </c>
      <c r="H37" s="228">
        <v>25.75</v>
      </c>
      <c r="I37" s="227">
        <f t="shared" si="7"/>
        <v>58</v>
      </c>
      <c r="J37" s="227">
        <f t="shared" si="7"/>
        <v>57</v>
      </c>
      <c r="K37" s="227">
        <f t="shared" si="7"/>
        <v>57</v>
      </c>
      <c r="L37" s="227">
        <f t="shared" si="7"/>
        <v>57</v>
      </c>
      <c r="M37" s="228">
        <f t="shared" si="7"/>
        <v>57</v>
      </c>
      <c r="N37" s="227">
        <f t="shared" si="7"/>
        <v>57</v>
      </c>
      <c r="O37" s="227">
        <v>57</v>
      </c>
    </row>
    <row r="38" spans="1:15" s="222" customFormat="1" ht="15.75" customHeight="1">
      <c r="A38" s="250" t="s">
        <v>131</v>
      </c>
      <c r="B38" s="217">
        <v>9</v>
      </c>
      <c r="C38" s="217">
        <v>9</v>
      </c>
      <c r="D38" s="217">
        <v>9</v>
      </c>
      <c r="E38" s="217">
        <v>9</v>
      </c>
      <c r="F38" s="217">
        <v>9</v>
      </c>
      <c r="G38" s="217">
        <v>9</v>
      </c>
      <c r="H38" s="218">
        <v>9</v>
      </c>
      <c r="I38" s="217">
        <v>83</v>
      </c>
      <c r="J38" s="217">
        <v>83</v>
      </c>
      <c r="K38" s="217">
        <v>83</v>
      </c>
      <c r="L38" s="217">
        <v>83</v>
      </c>
      <c r="M38" s="219">
        <v>83</v>
      </c>
      <c r="N38" s="220">
        <v>83</v>
      </c>
      <c r="O38" s="220">
        <v>83</v>
      </c>
    </row>
    <row r="39" spans="1:15" s="222" customFormat="1" ht="15.75" customHeight="1">
      <c r="A39" s="251" t="s">
        <v>132</v>
      </c>
      <c r="B39" s="217">
        <v>16</v>
      </c>
      <c r="C39" s="217">
        <v>16</v>
      </c>
      <c r="D39" s="217">
        <v>16</v>
      </c>
      <c r="E39" s="217">
        <v>16</v>
      </c>
      <c r="F39" s="217">
        <v>16</v>
      </c>
      <c r="G39" s="217">
        <v>16</v>
      </c>
      <c r="H39" s="218">
        <v>16</v>
      </c>
      <c r="I39" s="217">
        <v>11</v>
      </c>
      <c r="J39" s="217">
        <v>11</v>
      </c>
      <c r="K39" s="217">
        <v>11</v>
      </c>
      <c r="L39" s="217">
        <v>11</v>
      </c>
      <c r="M39" s="219">
        <v>11</v>
      </c>
      <c r="N39" s="220">
        <v>11</v>
      </c>
      <c r="O39" s="220">
        <v>11</v>
      </c>
    </row>
    <row r="40" spans="1:15" s="222" customFormat="1" ht="15.75" customHeight="1">
      <c r="A40" s="251" t="s">
        <v>133</v>
      </c>
      <c r="B40" s="217">
        <v>24.5</v>
      </c>
      <c r="C40" s="217">
        <v>24.5</v>
      </c>
      <c r="D40" s="217">
        <v>24.5</v>
      </c>
      <c r="E40" s="217">
        <v>24.5</v>
      </c>
      <c r="F40" s="217">
        <v>24.5</v>
      </c>
      <c r="G40" s="217">
        <v>24.5</v>
      </c>
      <c r="H40" s="218">
        <v>24.5</v>
      </c>
      <c r="I40" s="217">
        <v>3.5</v>
      </c>
      <c r="J40" s="217">
        <v>3.5</v>
      </c>
      <c r="K40" s="217">
        <v>3.5</v>
      </c>
      <c r="L40" s="217">
        <v>3.5</v>
      </c>
      <c r="M40" s="219">
        <v>4.5</v>
      </c>
      <c r="N40" s="220">
        <v>4.5</v>
      </c>
      <c r="O40" s="220">
        <v>4.5</v>
      </c>
    </row>
    <row r="41" spans="1:15" s="222" customFormat="1" ht="15.75" customHeight="1">
      <c r="A41" s="251" t="s">
        <v>134</v>
      </c>
      <c r="B41" s="217">
        <v>11.5</v>
      </c>
      <c r="C41" s="217">
        <v>11.5</v>
      </c>
      <c r="D41" s="217">
        <v>11.5</v>
      </c>
      <c r="E41" s="217">
        <v>11.5</v>
      </c>
      <c r="F41" s="217">
        <v>11.5</v>
      </c>
      <c r="G41" s="217">
        <v>11.5</v>
      </c>
      <c r="H41" s="218">
        <v>11.5</v>
      </c>
      <c r="I41" s="217">
        <v>16.5</v>
      </c>
      <c r="J41" s="217">
        <v>16.5</v>
      </c>
      <c r="K41" s="217">
        <v>16.5</v>
      </c>
      <c r="L41" s="217">
        <v>16.5</v>
      </c>
      <c r="M41" s="219">
        <v>16.5</v>
      </c>
      <c r="N41" s="220">
        <v>16.5</v>
      </c>
      <c r="O41" s="220">
        <v>16.5</v>
      </c>
    </row>
    <row r="42" spans="1:15" s="222" customFormat="1" ht="22.5" customHeight="1">
      <c r="A42" s="252" t="s">
        <v>135</v>
      </c>
      <c r="B42" s="227">
        <f aca="true" t="shared" si="8" ref="B42:N42">SUM(B37:B41)</f>
        <v>85.75</v>
      </c>
      <c r="C42" s="227">
        <f t="shared" si="8"/>
        <v>85.75</v>
      </c>
      <c r="D42" s="227">
        <v>85.75</v>
      </c>
      <c r="E42" s="227">
        <f t="shared" si="8"/>
        <v>85.75</v>
      </c>
      <c r="F42" s="227">
        <f t="shared" si="8"/>
        <v>85.75</v>
      </c>
      <c r="G42" s="227">
        <f t="shared" si="8"/>
        <v>86.75</v>
      </c>
      <c r="H42" s="228">
        <f>SUM(H37:H41)</f>
        <v>86.75</v>
      </c>
      <c r="I42" s="227">
        <f t="shared" si="8"/>
        <v>172</v>
      </c>
      <c r="J42" s="227">
        <f t="shared" si="8"/>
        <v>171</v>
      </c>
      <c r="K42" s="227">
        <f t="shared" si="8"/>
        <v>171</v>
      </c>
      <c r="L42" s="227">
        <f t="shared" si="8"/>
        <v>171</v>
      </c>
      <c r="M42" s="228">
        <f t="shared" si="8"/>
        <v>172</v>
      </c>
      <c r="N42" s="227">
        <f t="shared" si="8"/>
        <v>172</v>
      </c>
      <c r="O42" s="227">
        <v>172</v>
      </c>
    </row>
    <row r="43" spans="1:15" s="222" customFormat="1" ht="15.75" customHeight="1">
      <c r="A43" s="216" t="s">
        <v>136</v>
      </c>
      <c r="B43" s="253">
        <v>32</v>
      </c>
      <c r="C43" s="217">
        <v>32</v>
      </c>
      <c r="D43" s="217">
        <v>32</v>
      </c>
      <c r="E43" s="217">
        <v>32</v>
      </c>
      <c r="F43" s="217">
        <v>32</v>
      </c>
      <c r="G43" s="217">
        <v>32</v>
      </c>
      <c r="H43" s="218">
        <v>32</v>
      </c>
      <c r="I43" s="217">
        <v>30</v>
      </c>
      <c r="J43" s="217">
        <v>30</v>
      </c>
      <c r="K43" s="217">
        <v>30</v>
      </c>
      <c r="L43" s="217">
        <v>30</v>
      </c>
      <c r="M43" s="219">
        <v>30</v>
      </c>
      <c r="N43" s="220">
        <v>30</v>
      </c>
      <c r="O43" s="220">
        <v>30</v>
      </c>
    </row>
    <row r="44" spans="1:15" s="222" customFormat="1" ht="15.75" customHeight="1">
      <c r="A44" s="249" t="s">
        <v>137</v>
      </c>
      <c r="B44" s="253">
        <v>23</v>
      </c>
      <c r="C44" s="217">
        <v>23</v>
      </c>
      <c r="D44" s="217">
        <v>23</v>
      </c>
      <c r="E44" s="217">
        <v>23</v>
      </c>
      <c r="F44" s="217">
        <v>23</v>
      </c>
      <c r="G44" s="217">
        <v>23</v>
      </c>
      <c r="H44" s="218">
        <v>23</v>
      </c>
      <c r="I44" s="217">
        <v>1</v>
      </c>
      <c r="J44" s="217">
        <v>1</v>
      </c>
      <c r="K44" s="217">
        <v>1</v>
      </c>
      <c r="L44" s="217">
        <v>1</v>
      </c>
      <c r="M44" s="219">
        <v>1</v>
      </c>
      <c r="N44" s="220">
        <v>1</v>
      </c>
      <c r="O44" s="220">
        <v>1</v>
      </c>
    </row>
    <row r="45" spans="1:15" s="222" customFormat="1" ht="14.25" customHeight="1">
      <c r="A45" s="252" t="s">
        <v>138</v>
      </c>
      <c r="B45" s="227">
        <f aca="true" t="shared" si="9" ref="B45:N45">SUM(B43:B44)</f>
        <v>55</v>
      </c>
      <c r="C45" s="227">
        <f t="shared" si="9"/>
        <v>55</v>
      </c>
      <c r="D45" s="227">
        <v>55</v>
      </c>
      <c r="E45" s="227">
        <f t="shared" si="9"/>
        <v>55</v>
      </c>
      <c r="F45" s="227">
        <f t="shared" si="9"/>
        <v>55</v>
      </c>
      <c r="G45" s="227">
        <f t="shared" si="9"/>
        <v>55</v>
      </c>
      <c r="H45" s="228">
        <v>55</v>
      </c>
      <c r="I45" s="227">
        <f t="shared" si="9"/>
        <v>31</v>
      </c>
      <c r="J45" s="227">
        <f t="shared" si="9"/>
        <v>31</v>
      </c>
      <c r="K45" s="227">
        <f t="shared" si="9"/>
        <v>31</v>
      </c>
      <c r="L45" s="227">
        <f t="shared" si="9"/>
        <v>31</v>
      </c>
      <c r="M45" s="228">
        <f t="shared" si="9"/>
        <v>31</v>
      </c>
      <c r="N45" s="227">
        <f t="shared" si="9"/>
        <v>31</v>
      </c>
      <c r="O45" s="227">
        <v>31</v>
      </c>
    </row>
    <row r="46" spans="1:15" s="222" customFormat="1" ht="25.5" customHeight="1">
      <c r="A46" s="252" t="s">
        <v>172</v>
      </c>
      <c r="B46" s="230">
        <v>111</v>
      </c>
      <c r="C46" s="230">
        <v>111</v>
      </c>
      <c r="D46" s="230">
        <v>111</v>
      </c>
      <c r="E46" s="230">
        <v>111</v>
      </c>
      <c r="F46" s="230">
        <v>111</v>
      </c>
      <c r="G46" s="230">
        <v>111</v>
      </c>
      <c r="H46" s="231">
        <v>111</v>
      </c>
      <c r="I46" s="230">
        <v>4</v>
      </c>
      <c r="J46" s="230">
        <v>4</v>
      </c>
      <c r="K46" s="230">
        <v>4</v>
      </c>
      <c r="L46" s="230">
        <v>4</v>
      </c>
      <c r="M46" s="254">
        <v>4</v>
      </c>
      <c r="N46" s="255">
        <v>4</v>
      </c>
      <c r="O46" s="255">
        <v>4</v>
      </c>
    </row>
    <row r="47" spans="1:15" s="222" customFormat="1" ht="25.5" customHeight="1">
      <c r="A47" s="252" t="s">
        <v>140</v>
      </c>
      <c r="B47" s="227">
        <f>SUM(B45:B46)</f>
        <v>166</v>
      </c>
      <c r="C47" s="227">
        <f aca="true" t="shared" si="10" ref="C47:N47">SUM(C45:C46)</f>
        <v>166</v>
      </c>
      <c r="D47" s="227">
        <f t="shared" si="10"/>
        <v>166</v>
      </c>
      <c r="E47" s="227">
        <f t="shared" si="10"/>
        <v>166</v>
      </c>
      <c r="F47" s="227">
        <f t="shared" si="10"/>
        <v>166</v>
      </c>
      <c r="G47" s="227">
        <f t="shared" si="10"/>
        <v>166</v>
      </c>
      <c r="H47" s="228">
        <v>166</v>
      </c>
      <c r="I47" s="227">
        <f t="shared" si="10"/>
        <v>35</v>
      </c>
      <c r="J47" s="227">
        <f t="shared" si="10"/>
        <v>35</v>
      </c>
      <c r="K47" s="227">
        <f t="shared" si="10"/>
        <v>35</v>
      </c>
      <c r="L47" s="227">
        <f t="shared" si="10"/>
        <v>35</v>
      </c>
      <c r="M47" s="228">
        <f t="shared" si="10"/>
        <v>35</v>
      </c>
      <c r="N47" s="227">
        <f t="shared" si="10"/>
        <v>35</v>
      </c>
      <c r="O47" s="227">
        <v>35</v>
      </c>
    </row>
    <row r="48" spans="1:15" s="222" customFormat="1" ht="18" customHeight="1">
      <c r="A48" s="252" t="s">
        <v>141</v>
      </c>
      <c r="B48" s="256">
        <f>SUM(B7,B32,B42,B47)</f>
        <v>2357.1</v>
      </c>
      <c r="C48" s="256">
        <f aca="true" t="shared" si="11" ref="C48:O48">SUM(C7,C32,C42,C47)</f>
        <v>2358.1</v>
      </c>
      <c r="D48" s="256">
        <f t="shared" si="11"/>
        <v>2350.1</v>
      </c>
      <c r="E48" s="256">
        <f t="shared" si="11"/>
        <v>2354.1</v>
      </c>
      <c r="F48" s="256">
        <f t="shared" si="11"/>
        <v>2353.6</v>
      </c>
      <c r="G48" s="256">
        <f t="shared" si="11"/>
        <v>2348.88</v>
      </c>
      <c r="H48" s="257">
        <v>2348.88</v>
      </c>
      <c r="I48" s="256">
        <f t="shared" si="11"/>
        <v>986</v>
      </c>
      <c r="J48" s="256">
        <f t="shared" si="11"/>
        <v>985</v>
      </c>
      <c r="K48" s="256">
        <f t="shared" si="11"/>
        <v>990</v>
      </c>
      <c r="L48" s="256">
        <f t="shared" si="11"/>
        <v>992</v>
      </c>
      <c r="M48" s="257">
        <f t="shared" si="11"/>
        <v>995</v>
      </c>
      <c r="N48" s="256">
        <f t="shared" si="11"/>
        <v>1000.72</v>
      </c>
      <c r="O48" s="256">
        <f t="shared" si="11"/>
        <v>1000.72</v>
      </c>
    </row>
  </sheetData>
  <sheetProtection selectLockedCells="1" selectUnlockedCells="1"/>
  <mergeCells count="3">
    <mergeCell ref="A1:A2"/>
    <mergeCell ref="B1:H1"/>
    <mergeCell ref="I1:O1"/>
  </mergeCells>
  <printOptions gridLines="1"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83"/>
  <headerFooter alignWithMargins="0">
    <oddHeader>&amp;L../2008.(...)rendelet
3a sz. melléklete&amp;CKecskemét MJV Önkormányzata intézményei
 2008. évi létszámainak módosítása költségvetési szervenként&amp;R3/a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34">
      <selection activeCell="C159" sqref="C159"/>
    </sheetView>
  </sheetViews>
  <sheetFormatPr defaultColWidth="9.140625" defaultRowHeight="15"/>
  <cols>
    <col min="1" max="1" width="41.57421875" style="258" customWidth="1"/>
    <col min="2" max="4" width="15.421875" style="258" customWidth="1"/>
    <col min="5" max="16384" width="9.140625" style="258" customWidth="1"/>
  </cols>
  <sheetData>
    <row r="1" spans="1:4" ht="52.5" customHeight="1">
      <c r="A1" s="259" t="s">
        <v>173</v>
      </c>
      <c r="B1" s="260" t="s">
        <v>174</v>
      </c>
      <c r="C1" s="259" t="s">
        <v>94</v>
      </c>
      <c r="D1" s="260" t="s">
        <v>72</v>
      </c>
    </row>
    <row r="2" spans="1:4" ht="18.75" customHeight="1">
      <c r="A2" s="261" t="s">
        <v>175</v>
      </c>
      <c r="B2" s="262">
        <v>16939</v>
      </c>
      <c r="C2" s="262">
        <v>13330</v>
      </c>
      <c r="D2" s="262">
        <v>30269</v>
      </c>
    </row>
    <row r="3" spans="1:4" ht="14.25">
      <c r="A3" s="263" t="s">
        <v>176</v>
      </c>
      <c r="B3" s="264">
        <v>48</v>
      </c>
      <c r="C3" s="264">
        <v>0</v>
      </c>
      <c r="D3" s="264">
        <v>48</v>
      </c>
    </row>
    <row r="4" spans="1:4" ht="14.25">
      <c r="A4" s="265" t="s">
        <v>177</v>
      </c>
      <c r="B4" s="264">
        <v>800</v>
      </c>
      <c r="C4" s="264">
        <v>2604</v>
      </c>
      <c r="D4" s="264">
        <v>3404</v>
      </c>
    </row>
    <row r="5" spans="1:4" ht="14.25">
      <c r="A5" s="265" t="s">
        <v>178</v>
      </c>
      <c r="B5" s="264">
        <v>61</v>
      </c>
      <c r="C5" s="264">
        <v>0</v>
      </c>
      <c r="D5" s="264">
        <v>61</v>
      </c>
    </row>
    <row r="6" spans="1:4" ht="14.25">
      <c r="A6" s="265" t="s">
        <v>179</v>
      </c>
      <c r="B6" s="264">
        <v>88</v>
      </c>
      <c r="C6" s="264">
        <v>0</v>
      </c>
      <c r="D6" s="264">
        <v>88</v>
      </c>
    </row>
    <row r="7" spans="1:4" ht="14.25">
      <c r="A7" s="265" t="s">
        <v>180</v>
      </c>
      <c r="B7" s="264">
        <v>1000</v>
      </c>
      <c r="C7" s="264">
        <v>0</v>
      </c>
      <c r="D7" s="264">
        <v>1000</v>
      </c>
    </row>
    <row r="8" spans="1:4" ht="14.25">
      <c r="A8" s="265" t="s">
        <v>181</v>
      </c>
      <c r="B8" s="264">
        <v>1882</v>
      </c>
      <c r="C8" s="264">
        <v>1684</v>
      </c>
      <c r="D8" s="264">
        <v>3566</v>
      </c>
    </row>
    <row r="9" spans="1:4" ht="14.25">
      <c r="A9" s="265" t="s">
        <v>182</v>
      </c>
      <c r="B9" s="264">
        <v>596</v>
      </c>
      <c r="C9" s="264">
        <v>0</v>
      </c>
      <c r="D9" s="264">
        <v>596</v>
      </c>
    </row>
    <row r="10" spans="1:4" ht="14.25">
      <c r="A10" s="265" t="s">
        <v>183</v>
      </c>
      <c r="B10" s="264">
        <v>345</v>
      </c>
      <c r="C10" s="264">
        <v>256</v>
      </c>
      <c r="D10" s="264">
        <v>601</v>
      </c>
    </row>
    <row r="11" spans="1:4" ht="14.25">
      <c r="A11" s="265" t="s">
        <v>184</v>
      </c>
      <c r="B11" s="264">
        <v>765</v>
      </c>
      <c r="C11" s="264">
        <v>0</v>
      </c>
      <c r="D11" s="264">
        <v>765</v>
      </c>
    </row>
    <row r="12" spans="1:6" ht="14.25">
      <c r="A12" s="265" t="s">
        <v>185</v>
      </c>
      <c r="B12" s="264">
        <v>316</v>
      </c>
      <c r="C12" s="264">
        <v>0</v>
      </c>
      <c r="D12" s="264">
        <v>316</v>
      </c>
      <c r="F12" s="266"/>
    </row>
    <row r="13" spans="1:4" ht="14.25">
      <c r="A13" s="265" t="s">
        <v>186</v>
      </c>
      <c r="B13" s="264">
        <v>188</v>
      </c>
      <c r="C13" s="264">
        <v>0</v>
      </c>
      <c r="D13" s="264">
        <v>188</v>
      </c>
    </row>
    <row r="14" spans="1:4" ht="14.25">
      <c r="A14" s="265" t="s">
        <v>187</v>
      </c>
      <c r="B14" s="264">
        <v>3600</v>
      </c>
      <c r="C14" s="264">
        <v>0</v>
      </c>
      <c r="D14" s="264">
        <v>3600</v>
      </c>
    </row>
    <row r="15" spans="1:4" ht="14.25">
      <c r="A15" s="265" t="s">
        <v>188</v>
      </c>
      <c r="B15" s="264">
        <v>7250</v>
      </c>
      <c r="C15" s="264">
        <v>0</v>
      </c>
      <c r="D15" s="264">
        <v>7250</v>
      </c>
    </row>
    <row r="16" spans="1:4" ht="14.25">
      <c r="A16" s="265" t="s">
        <v>189</v>
      </c>
      <c r="B16" s="264">
        <v>0</v>
      </c>
      <c r="C16" s="264">
        <v>0</v>
      </c>
      <c r="D16" s="264">
        <v>0</v>
      </c>
    </row>
    <row r="17" spans="1:4" ht="14.25">
      <c r="A17" s="265" t="s">
        <v>190</v>
      </c>
      <c r="B17" s="264">
        <v>0</v>
      </c>
      <c r="C17" s="264">
        <v>1149</v>
      </c>
      <c r="D17" s="264">
        <v>1149</v>
      </c>
    </row>
    <row r="18" spans="1:4" ht="14.25">
      <c r="A18" s="265" t="s">
        <v>191</v>
      </c>
      <c r="B18" s="264">
        <v>0</v>
      </c>
      <c r="C18" s="264">
        <v>360</v>
      </c>
      <c r="D18" s="264">
        <v>360</v>
      </c>
    </row>
    <row r="19" spans="1:4" ht="14.25">
      <c r="A19" s="265" t="s">
        <v>192</v>
      </c>
      <c r="B19" s="264">
        <v>0</v>
      </c>
      <c r="C19" s="264">
        <v>416</v>
      </c>
      <c r="D19" s="264">
        <v>416</v>
      </c>
    </row>
    <row r="20" spans="1:4" ht="14.25">
      <c r="A20" s="265" t="s">
        <v>193</v>
      </c>
      <c r="B20" s="264">
        <v>0</v>
      </c>
      <c r="C20" s="264">
        <v>412</v>
      </c>
      <c r="D20" s="264">
        <v>412</v>
      </c>
    </row>
    <row r="21" spans="1:4" ht="14.25">
      <c r="A21" s="265" t="s">
        <v>194</v>
      </c>
      <c r="B21" s="264">
        <v>0</v>
      </c>
      <c r="C21" s="264">
        <v>51</v>
      </c>
      <c r="D21" s="264">
        <v>51</v>
      </c>
    </row>
    <row r="22" spans="1:4" ht="14.25">
      <c r="A22" s="265" t="s">
        <v>195</v>
      </c>
      <c r="B22" s="264">
        <v>0</v>
      </c>
      <c r="C22" s="264">
        <v>3930</v>
      </c>
      <c r="D22" s="264">
        <v>3930</v>
      </c>
    </row>
    <row r="23" spans="1:4" ht="14.25">
      <c r="A23" s="265" t="s">
        <v>196</v>
      </c>
      <c r="B23" s="264">
        <v>0</v>
      </c>
      <c r="C23" s="264">
        <v>468</v>
      </c>
      <c r="D23" s="264">
        <v>468</v>
      </c>
    </row>
    <row r="24" spans="1:5" ht="14.25">
      <c r="A24" s="265" t="s">
        <v>197</v>
      </c>
      <c r="B24" s="264">
        <v>0</v>
      </c>
      <c r="C24" s="264">
        <v>2000</v>
      </c>
      <c r="D24" s="264">
        <v>2000</v>
      </c>
      <c r="E24" s="266"/>
    </row>
    <row r="25" spans="1:4" ht="14.25">
      <c r="A25" s="267" t="s">
        <v>92</v>
      </c>
      <c r="B25" s="262">
        <v>21427</v>
      </c>
      <c r="C25" s="262">
        <v>18740</v>
      </c>
      <c r="D25" s="262">
        <v>40167</v>
      </c>
    </row>
    <row r="26" spans="1:6" ht="14.25">
      <c r="A26" s="263" t="s">
        <v>198</v>
      </c>
      <c r="B26" s="264">
        <v>1390</v>
      </c>
      <c r="C26" s="264">
        <v>867</v>
      </c>
      <c r="D26" s="264">
        <v>2257</v>
      </c>
      <c r="F26" s="266"/>
    </row>
    <row r="27" spans="1:4" ht="14.25">
      <c r="A27" s="263" t="s">
        <v>199</v>
      </c>
      <c r="B27" s="264">
        <v>9555</v>
      </c>
      <c r="C27" s="264">
        <v>0</v>
      </c>
      <c r="D27" s="264">
        <v>9555</v>
      </c>
    </row>
    <row r="28" spans="1:4" ht="14.25">
      <c r="A28" s="263" t="s">
        <v>176</v>
      </c>
      <c r="B28" s="264">
        <v>456</v>
      </c>
      <c r="C28" s="264">
        <v>2938</v>
      </c>
      <c r="D28" s="264">
        <v>3394</v>
      </c>
    </row>
    <row r="29" spans="1:4" ht="14.25">
      <c r="A29" s="263" t="s">
        <v>200</v>
      </c>
      <c r="B29" s="264">
        <v>3195</v>
      </c>
      <c r="C29" s="264">
        <f>154+1496</f>
        <v>1650</v>
      </c>
      <c r="D29" s="264">
        <f>3349+1496</f>
        <v>4845</v>
      </c>
    </row>
    <row r="30" spans="1:4" ht="14.25">
      <c r="A30" s="263" t="s">
        <v>201</v>
      </c>
      <c r="B30" s="264">
        <v>879</v>
      </c>
      <c r="C30" s="264">
        <v>7343</v>
      </c>
      <c r="D30" s="264">
        <v>8222</v>
      </c>
    </row>
    <row r="31" spans="1:4" ht="14.25">
      <c r="A31" s="263" t="s">
        <v>202</v>
      </c>
      <c r="B31" s="264">
        <v>4636</v>
      </c>
      <c r="C31" s="264">
        <v>2219</v>
      </c>
      <c r="D31" s="264">
        <v>6855</v>
      </c>
    </row>
    <row r="32" spans="1:4" ht="24.75">
      <c r="A32" s="268" t="s">
        <v>203</v>
      </c>
      <c r="B32" s="264">
        <v>800</v>
      </c>
      <c r="C32" s="264">
        <v>0</v>
      </c>
      <c r="D32" s="264">
        <v>800</v>
      </c>
    </row>
    <row r="33" spans="1:4" ht="14.25">
      <c r="A33" s="268" t="s">
        <v>204</v>
      </c>
      <c r="B33" s="264">
        <v>516</v>
      </c>
      <c r="C33" s="264">
        <v>0</v>
      </c>
      <c r="D33" s="264">
        <v>516</v>
      </c>
    </row>
    <row r="34" spans="1:4" ht="14.25">
      <c r="A34" s="268" t="s">
        <v>205</v>
      </c>
      <c r="B34" s="264">
        <v>0</v>
      </c>
      <c r="C34" s="264">
        <v>2449</v>
      </c>
      <c r="D34" s="264">
        <v>2449</v>
      </c>
    </row>
    <row r="35" spans="1:4" ht="14.25">
      <c r="A35" s="268" t="s">
        <v>206</v>
      </c>
      <c r="B35" s="264">
        <v>0</v>
      </c>
      <c r="C35" s="264">
        <v>840</v>
      </c>
      <c r="D35" s="264">
        <v>840</v>
      </c>
    </row>
    <row r="36" spans="1:4" ht="14.25">
      <c r="A36" s="268" t="s">
        <v>207</v>
      </c>
      <c r="B36" s="264">
        <v>0</v>
      </c>
      <c r="C36" s="264">
        <v>434</v>
      </c>
      <c r="D36" s="264">
        <v>434</v>
      </c>
    </row>
    <row r="37" spans="1:4" ht="14.25">
      <c r="A37" s="267" t="s">
        <v>208</v>
      </c>
      <c r="B37" s="262">
        <v>60</v>
      </c>
      <c r="C37" s="262">
        <v>-60</v>
      </c>
      <c r="D37" s="262">
        <v>0</v>
      </c>
    </row>
    <row r="38" spans="1:4" ht="14.25">
      <c r="A38" s="263" t="s">
        <v>209</v>
      </c>
      <c r="B38" s="264">
        <v>60</v>
      </c>
      <c r="C38" s="264">
        <v>-60</v>
      </c>
      <c r="D38" s="264">
        <v>0</v>
      </c>
    </row>
    <row r="39" spans="1:4" ht="14.25">
      <c r="A39" s="269" t="s">
        <v>210</v>
      </c>
      <c r="B39" s="270">
        <v>38426</v>
      </c>
      <c r="C39" s="270">
        <v>32010</v>
      </c>
      <c r="D39" s="270">
        <v>70436</v>
      </c>
    </row>
    <row r="40" spans="1:4" ht="14.25">
      <c r="A40" s="271" t="s">
        <v>211</v>
      </c>
      <c r="B40" s="262">
        <v>4705</v>
      </c>
      <c r="C40" s="262">
        <v>910</v>
      </c>
      <c r="D40" s="262">
        <v>5615</v>
      </c>
    </row>
    <row r="41" spans="1:4" ht="14.25">
      <c r="A41" s="272" t="s">
        <v>212</v>
      </c>
      <c r="B41" s="264">
        <v>4705</v>
      </c>
      <c r="C41" s="264">
        <v>0</v>
      </c>
      <c r="D41" s="264">
        <v>4705</v>
      </c>
    </row>
    <row r="42" spans="1:4" ht="14.25">
      <c r="A42" s="272" t="s">
        <v>213</v>
      </c>
      <c r="B42" s="264">
        <v>0</v>
      </c>
      <c r="C42" s="264">
        <v>910</v>
      </c>
      <c r="D42" s="264">
        <v>910</v>
      </c>
    </row>
    <row r="43" spans="1:4" ht="14.25">
      <c r="A43" s="271" t="s">
        <v>101</v>
      </c>
      <c r="B43" s="262">
        <v>0</v>
      </c>
      <c r="C43" s="262">
        <v>1000</v>
      </c>
      <c r="D43" s="262">
        <v>1000</v>
      </c>
    </row>
    <row r="44" spans="1:4" ht="14.25">
      <c r="A44" s="272" t="s">
        <v>214</v>
      </c>
      <c r="B44" s="264">
        <v>0</v>
      </c>
      <c r="C44" s="264">
        <v>1000</v>
      </c>
      <c r="D44" s="264">
        <v>1000</v>
      </c>
    </row>
    <row r="45" spans="1:4" ht="14.25">
      <c r="A45" s="273" t="s">
        <v>215</v>
      </c>
      <c r="B45" s="270">
        <v>4705</v>
      </c>
      <c r="C45" s="270">
        <v>1910</v>
      </c>
      <c r="D45" s="270">
        <v>6615</v>
      </c>
    </row>
    <row r="46" spans="1:4" ht="14.25">
      <c r="A46" s="273" t="s">
        <v>216</v>
      </c>
      <c r="B46" s="270">
        <v>3075</v>
      </c>
      <c r="C46" s="270">
        <v>1918</v>
      </c>
      <c r="D46" s="270">
        <v>4993</v>
      </c>
    </row>
    <row r="47" spans="1:4" ht="14.25">
      <c r="A47" s="272" t="s">
        <v>217</v>
      </c>
      <c r="B47" s="264">
        <v>675</v>
      </c>
      <c r="C47" s="264">
        <v>0</v>
      </c>
      <c r="D47" s="264">
        <v>675</v>
      </c>
    </row>
    <row r="48" spans="1:4" ht="14.25">
      <c r="A48" s="272" t="s">
        <v>218</v>
      </c>
      <c r="B48" s="264">
        <v>2400</v>
      </c>
      <c r="C48" s="264">
        <v>0</v>
      </c>
      <c r="D48" s="264">
        <v>2400</v>
      </c>
    </row>
    <row r="49" spans="1:5" ht="36.75">
      <c r="A49" s="274" t="s">
        <v>219</v>
      </c>
      <c r="B49" s="264">
        <v>0</v>
      </c>
      <c r="C49" s="264">
        <v>1918</v>
      </c>
      <c r="D49" s="264">
        <v>1918</v>
      </c>
      <c r="E49" s="266"/>
    </row>
    <row r="50" spans="1:4" ht="14.25">
      <c r="A50" s="273" t="s">
        <v>220</v>
      </c>
      <c r="B50" s="270">
        <v>2496</v>
      </c>
      <c r="C50" s="270">
        <f>SUM(C51:C59)</f>
        <v>4586</v>
      </c>
      <c r="D50" s="270">
        <v>7082</v>
      </c>
    </row>
    <row r="51" spans="1:4" ht="14.25">
      <c r="A51" s="275" t="s">
        <v>221</v>
      </c>
      <c r="B51" s="264">
        <v>740</v>
      </c>
      <c r="C51" s="264">
        <v>0</v>
      </c>
      <c r="D51" s="264">
        <v>740</v>
      </c>
    </row>
    <row r="52" spans="1:4" ht="14.25">
      <c r="A52" s="275" t="s">
        <v>222</v>
      </c>
      <c r="B52" s="264">
        <v>537</v>
      </c>
      <c r="C52" s="264">
        <v>577</v>
      </c>
      <c r="D52" s="264">
        <v>1114</v>
      </c>
    </row>
    <row r="53" spans="1:4" ht="14.25">
      <c r="A53" s="275" t="s">
        <v>223</v>
      </c>
      <c r="B53" s="264">
        <v>1050</v>
      </c>
      <c r="C53" s="264">
        <v>0</v>
      </c>
      <c r="D53" s="264">
        <v>1050</v>
      </c>
    </row>
    <row r="54" spans="1:4" ht="14.25">
      <c r="A54" s="275" t="s">
        <v>224</v>
      </c>
      <c r="B54" s="264">
        <v>169</v>
      </c>
      <c r="C54" s="264">
        <v>0</v>
      </c>
      <c r="D54" s="264">
        <v>169</v>
      </c>
    </row>
    <row r="55" spans="1:4" ht="14.25">
      <c r="A55" s="275" t="s">
        <v>225</v>
      </c>
      <c r="B55" s="264">
        <v>0</v>
      </c>
      <c r="C55" s="264">
        <v>1167</v>
      </c>
      <c r="D55" s="264">
        <v>1167</v>
      </c>
    </row>
    <row r="56" spans="1:4" ht="14.25">
      <c r="A56" s="275" t="s">
        <v>226</v>
      </c>
      <c r="B56" s="264">
        <v>0</v>
      </c>
      <c r="C56" s="264">
        <v>864</v>
      </c>
      <c r="D56" s="264">
        <v>864</v>
      </c>
    </row>
    <row r="57" spans="1:4" ht="14.25">
      <c r="A57" s="275" t="s">
        <v>227</v>
      </c>
      <c r="B57" s="264">
        <v>0</v>
      </c>
      <c r="C57" s="264">
        <v>290</v>
      </c>
      <c r="D57" s="264">
        <v>290</v>
      </c>
    </row>
    <row r="58" spans="1:4" ht="24.75">
      <c r="A58" s="276" t="s">
        <v>228</v>
      </c>
      <c r="B58" s="264">
        <v>0</v>
      </c>
      <c r="C58" s="264">
        <v>768</v>
      </c>
      <c r="D58" s="264">
        <v>768</v>
      </c>
    </row>
    <row r="59" spans="1:4" ht="14.25">
      <c r="A59" s="276" t="s">
        <v>229</v>
      </c>
      <c r="B59" s="264">
        <v>0</v>
      </c>
      <c r="C59" s="264">
        <v>920</v>
      </c>
      <c r="D59" s="264">
        <v>920</v>
      </c>
    </row>
    <row r="60" spans="1:4" ht="14.25">
      <c r="A60" s="271" t="s">
        <v>230</v>
      </c>
      <c r="B60" s="262">
        <v>274</v>
      </c>
      <c r="C60" s="262">
        <v>2132</v>
      </c>
      <c r="D60" s="262">
        <v>2406</v>
      </c>
    </row>
    <row r="61" spans="1:4" ht="14.25">
      <c r="A61" s="275" t="s">
        <v>231</v>
      </c>
      <c r="B61" s="264">
        <v>174</v>
      </c>
      <c r="C61" s="264">
        <v>0</v>
      </c>
      <c r="D61" s="264">
        <v>174</v>
      </c>
    </row>
    <row r="62" spans="1:4" ht="14.25">
      <c r="A62" s="275" t="s">
        <v>232</v>
      </c>
      <c r="B62" s="264">
        <v>100</v>
      </c>
      <c r="C62" s="264">
        <v>0</v>
      </c>
      <c r="D62" s="264">
        <v>100</v>
      </c>
    </row>
    <row r="63" spans="1:4" ht="14.25">
      <c r="A63" s="275" t="s">
        <v>233</v>
      </c>
      <c r="B63" s="264">
        <v>0</v>
      </c>
      <c r="C63" s="264">
        <v>1346</v>
      </c>
      <c r="D63" s="264">
        <v>1346</v>
      </c>
    </row>
    <row r="64" spans="1:5" ht="14.25">
      <c r="A64" s="275" t="s">
        <v>234</v>
      </c>
      <c r="B64" s="264">
        <v>0</v>
      </c>
      <c r="C64" s="264">
        <v>786</v>
      </c>
      <c r="D64" s="264">
        <v>786</v>
      </c>
      <c r="E64" s="266"/>
    </row>
    <row r="65" spans="1:4" ht="14.25">
      <c r="A65" s="271" t="s">
        <v>235</v>
      </c>
      <c r="B65" s="262">
        <v>448</v>
      </c>
      <c r="C65" s="262">
        <v>115</v>
      </c>
      <c r="D65" s="262">
        <v>563</v>
      </c>
    </row>
    <row r="66" spans="1:4" ht="14.25">
      <c r="A66" s="275" t="s">
        <v>179</v>
      </c>
      <c r="B66" s="264">
        <v>348</v>
      </c>
      <c r="C66" s="264">
        <v>0</v>
      </c>
      <c r="D66" s="264">
        <v>348</v>
      </c>
    </row>
    <row r="67" spans="1:4" ht="14.25">
      <c r="A67" s="275" t="s">
        <v>232</v>
      </c>
      <c r="B67" s="264">
        <v>100</v>
      </c>
      <c r="C67" s="264">
        <v>0</v>
      </c>
      <c r="D67" s="264">
        <v>100</v>
      </c>
    </row>
    <row r="68" spans="1:4" ht="14.25">
      <c r="A68" s="275" t="s">
        <v>236</v>
      </c>
      <c r="B68" s="264">
        <v>0</v>
      </c>
      <c r="C68" s="264">
        <v>115</v>
      </c>
      <c r="D68" s="264">
        <v>115</v>
      </c>
    </row>
    <row r="69" spans="1:4" ht="14.25">
      <c r="A69" s="273" t="s">
        <v>237</v>
      </c>
      <c r="B69" s="270">
        <v>722</v>
      </c>
      <c r="C69" s="270">
        <v>2247</v>
      </c>
      <c r="D69" s="270">
        <v>2969</v>
      </c>
    </row>
    <row r="70" spans="1:4" ht="14.25">
      <c r="A70" s="273" t="s">
        <v>238</v>
      </c>
      <c r="B70" s="270">
        <v>10932</v>
      </c>
      <c r="C70" s="270">
        <v>7526</v>
      </c>
      <c r="D70" s="270">
        <v>18458</v>
      </c>
    </row>
    <row r="71" spans="1:4" ht="14.25">
      <c r="A71" s="275" t="s">
        <v>239</v>
      </c>
      <c r="B71" s="277">
        <v>10428</v>
      </c>
      <c r="C71" s="277">
        <v>7526</v>
      </c>
      <c r="D71" s="277">
        <v>17954</v>
      </c>
    </row>
    <row r="72" spans="1:6" ht="24.75">
      <c r="A72" s="276" t="s">
        <v>240</v>
      </c>
      <c r="B72" s="277">
        <v>504</v>
      </c>
      <c r="C72" s="277">
        <v>0</v>
      </c>
      <c r="D72" s="277">
        <v>504</v>
      </c>
      <c r="F72" s="266"/>
    </row>
    <row r="73" spans="1:4" ht="14.25">
      <c r="A73" s="273" t="s">
        <v>241</v>
      </c>
      <c r="B73" s="270">
        <v>2500</v>
      </c>
      <c r="C73" s="270">
        <v>4185</v>
      </c>
      <c r="D73" s="270">
        <v>6685</v>
      </c>
    </row>
    <row r="74" spans="1:4" ht="14.25">
      <c r="A74" s="275" t="s">
        <v>242</v>
      </c>
      <c r="B74" s="264">
        <v>2500</v>
      </c>
      <c r="C74" s="264">
        <v>0</v>
      </c>
      <c r="D74" s="264">
        <v>2500</v>
      </c>
    </row>
    <row r="75" spans="1:4" ht="14.25">
      <c r="A75" s="275" t="s">
        <v>243</v>
      </c>
      <c r="B75" s="264">
        <v>0</v>
      </c>
      <c r="C75" s="264">
        <v>4185</v>
      </c>
      <c r="D75" s="264">
        <v>4185</v>
      </c>
    </row>
    <row r="76" spans="1:4" ht="14.25">
      <c r="A76" s="273" t="s">
        <v>110</v>
      </c>
      <c r="B76" s="270">
        <v>539</v>
      </c>
      <c r="C76" s="270">
        <v>1076</v>
      </c>
      <c r="D76" s="270">
        <v>1615</v>
      </c>
    </row>
    <row r="77" spans="1:4" ht="14.25">
      <c r="A77" s="275" t="s">
        <v>200</v>
      </c>
      <c r="B77" s="264">
        <v>259</v>
      </c>
      <c r="C77" s="264">
        <v>1076</v>
      </c>
      <c r="D77" s="264">
        <v>1335</v>
      </c>
    </row>
    <row r="78" spans="1:4" ht="14.25">
      <c r="A78" s="275" t="s">
        <v>244</v>
      </c>
      <c r="B78" s="264">
        <v>280</v>
      </c>
      <c r="C78" s="264">
        <v>0</v>
      </c>
      <c r="D78" s="264">
        <v>280</v>
      </c>
    </row>
    <row r="79" spans="1:4" ht="14.25">
      <c r="A79" s="273" t="s">
        <v>111</v>
      </c>
      <c r="B79" s="270">
        <v>691</v>
      </c>
      <c r="C79" s="270">
        <v>0</v>
      </c>
      <c r="D79" s="270">
        <v>691</v>
      </c>
    </row>
    <row r="80" spans="1:4" ht="14.25">
      <c r="A80" s="275" t="s">
        <v>245</v>
      </c>
      <c r="B80" s="264">
        <v>555</v>
      </c>
      <c r="C80" s="264">
        <v>0</v>
      </c>
      <c r="D80" s="264">
        <v>555</v>
      </c>
    </row>
    <row r="81" spans="1:4" ht="14.25">
      <c r="A81" s="275" t="s">
        <v>246</v>
      </c>
      <c r="B81" s="264">
        <v>136</v>
      </c>
      <c r="C81" s="264">
        <v>0</v>
      </c>
      <c r="D81" s="264">
        <v>136</v>
      </c>
    </row>
    <row r="82" spans="1:4" ht="14.25">
      <c r="A82" s="273" t="s">
        <v>247</v>
      </c>
      <c r="B82" s="270">
        <v>21</v>
      </c>
      <c r="C82" s="270">
        <v>0</v>
      </c>
      <c r="D82" s="270">
        <v>21</v>
      </c>
    </row>
    <row r="83" spans="1:4" ht="14.25">
      <c r="A83" s="275" t="s">
        <v>248</v>
      </c>
      <c r="B83" s="264">
        <v>21</v>
      </c>
      <c r="C83" s="264">
        <v>0</v>
      </c>
      <c r="D83" s="264">
        <v>21</v>
      </c>
    </row>
    <row r="84" spans="1:4" ht="14.25">
      <c r="A84" s="273" t="s">
        <v>249</v>
      </c>
      <c r="B84" s="270">
        <v>3751</v>
      </c>
      <c r="C84" s="270">
        <v>5261</v>
      </c>
      <c r="D84" s="270">
        <v>9012</v>
      </c>
    </row>
    <row r="85" spans="1:4" ht="14.25">
      <c r="A85" s="273" t="s">
        <v>250</v>
      </c>
      <c r="B85" s="270">
        <v>1517</v>
      </c>
      <c r="C85" s="270">
        <v>0</v>
      </c>
      <c r="D85" s="270">
        <v>1517</v>
      </c>
    </row>
    <row r="86" spans="1:4" ht="14.25">
      <c r="A86" s="275" t="s">
        <v>242</v>
      </c>
      <c r="B86" s="277">
        <v>5000</v>
      </c>
      <c r="C86" s="277">
        <v>0</v>
      </c>
      <c r="D86" s="277">
        <v>5000</v>
      </c>
    </row>
    <row r="87" spans="1:4" ht="14.25">
      <c r="A87" s="275" t="s">
        <v>251</v>
      </c>
      <c r="B87" s="277">
        <v>-3483</v>
      </c>
      <c r="C87" s="277">
        <v>0</v>
      </c>
      <c r="D87" s="277">
        <v>-3483</v>
      </c>
    </row>
    <row r="88" spans="1:4" ht="14.25">
      <c r="A88" s="273" t="s">
        <v>252</v>
      </c>
      <c r="B88" s="270">
        <v>8318</v>
      </c>
      <c r="C88" s="270">
        <v>0</v>
      </c>
      <c r="D88" s="270">
        <v>8318</v>
      </c>
    </row>
    <row r="89" spans="1:4" ht="14.25">
      <c r="A89" s="275" t="s">
        <v>242</v>
      </c>
      <c r="B89" s="277">
        <v>9707</v>
      </c>
      <c r="C89" s="277">
        <v>0</v>
      </c>
      <c r="D89" s="277">
        <v>9707</v>
      </c>
    </row>
    <row r="90" spans="1:4" ht="14.25">
      <c r="A90" s="275" t="s">
        <v>251</v>
      </c>
      <c r="B90" s="277">
        <v>-1389</v>
      </c>
      <c r="C90" s="277">
        <v>0</v>
      </c>
      <c r="D90" s="277">
        <v>-1389</v>
      </c>
    </row>
    <row r="91" spans="1:4" ht="14.25">
      <c r="A91" s="273" t="s">
        <v>253</v>
      </c>
      <c r="B91" s="270">
        <v>9663</v>
      </c>
      <c r="C91" s="270">
        <v>0</v>
      </c>
      <c r="D91" s="270">
        <v>9663</v>
      </c>
    </row>
    <row r="92" spans="1:4" ht="14.25">
      <c r="A92" s="275" t="s">
        <v>254</v>
      </c>
      <c r="B92" s="264">
        <v>2655</v>
      </c>
      <c r="C92" s="264">
        <v>0</v>
      </c>
      <c r="D92" s="264">
        <v>2655</v>
      </c>
    </row>
    <row r="93" spans="1:4" ht="14.25">
      <c r="A93" s="275" t="s">
        <v>255</v>
      </c>
      <c r="B93" s="264">
        <v>1704</v>
      </c>
      <c r="C93" s="264">
        <v>0</v>
      </c>
      <c r="D93" s="264">
        <v>1704</v>
      </c>
    </row>
    <row r="94" spans="1:4" ht="14.25">
      <c r="A94" s="275" t="s">
        <v>251</v>
      </c>
      <c r="B94" s="264">
        <v>5304</v>
      </c>
      <c r="C94" s="264">
        <v>0</v>
      </c>
      <c r="D94" s="264">
        <v>5304</v>
      </c>
    </row>
    <row r="95" spans="1:4" ht="14.25">
      <c r="A95" s="273" t="s">
        <v>256</v>
      </c>
      <c r="B95" s="270">
        <v>7375</v>
      </c>
      <c r="C95" s="270">
        <v>0</v>
      </c>
      <c r="D95" s="270">
        <v>7375</v>
      </c>
    </row>
    <row r="96" spans="1:4" ht="14.25">
      <c r="A96" s="275" t="s">
        <v>257</v>
      </c>
      <c r="B96" s="264">
        <v>4687</v>
      </c>
      <c r="C96" s="264">
        <v>0</v>
      </c>
      <c r="D96" s="264">
        <v>4687</v>
      </c>
    </row>
    <row r="97" spans="1:4" ht="14.25">
      <c r="A97" s="275" t="s">
        <v>254</v>
      </c>
      <c r="B97" s="264">
        <v>1907</v>
      </c>
      <c r="C97" s="264">
        <v>0</v>
      </c>
      <c r="D97" s="264">
        <v>1907</v>
      </c>
    </row>
    <row r="98" spans="1:4" ht="14.25">
      <c r="A98" s="275" t="s">
        <v>251</v>
      </c>
      <c r="B98" s="264">
        <v>781</v>
      </c>
      <c r="C98" s="264">
        <v>0</v>
      </c>
      <c r="D98" s="264">
        <v>781</v>
      </c>
    </row>
    <row r="99" spans="1:4" ht="14.25">
      <c r="A99" s="273" t="s">
        <v>258</v>
      </c>
      <c r="B99" s="270">
        <v>9913</v>
      </c>
      <c r="C99" s="270">
        <v>0</v>
      </c>
      <c r="D99" s="270">
        <v>9913</v>
      </c>
    </row>
    <row r="100" spans="1:4" ht="14.25">
      <c r="A100" s="275" t="s">
        <v>251</v>
      </c>
      <c r="B100" s="264">
        <v>9913</v>
      </c>
      <c r="C100" s="264">
        <v>0</v>
      </c>
      <c r="D100" s="264">
        <v>9913</v>
      </c>
    </row>
    <row r="101" spans="1:4" ht="14.25">
      <c r="A101" s="273" t="s">
        <v>259</v>
      </c>
      <c r="B101" s="270">
        <v>23649</v>
      </c>
      <c r="C101" s="270">
        <v>0</v>
      </c>
      <c r="D101" s="270">
        <v>23649</v>
      </c>
    </row>
    <row r="102" spans="1:4" ht="14.25">
      <c r="A102" s="275" t="s">
        <v>242</v>
      </c>
      <c r="B102" s="277">
        <v>7662</v>
      </c>
      <c r="C102" s="277">
        <v>0</v>
      </c>
      <c r="D102" s="277">
        <v>7662</v>
      </c>
    </row>
    <row r="103" spans="1:4" ht="14.25">
      <c r="A103" s="275" t="s">
        <v>260</v>
      </c>
      <c r="B103" s="277">
        <v>5187</v>
      </c>
      <c r="C103" s="277">
        <v>0</v>
      </c>
      <c r="D103" s="277">
        <v>5187</v>
      </c>
    </row>
    <row r="104" spans="1:4" ht="14.25">
      <c r="A104" s="275" t="s">
        <v>251</v>
      </c>
      <c r="B104" s="277">
        <v>10800</v>
      </c>
      <c r="C104" s="277">
        <v>0</v>
      </c>
      <c r="D104" s="277">
        <v>10800</v>
      </c>
    </row>
    <row r="105" spans="1:4" ht="14.25">
      <c r="A105" s="273" t="s">
        <v>261</v>
      </c>
      <c r="B105" s="270">
        <v>0</v>
      </c>
      <c r="C105" s="270">
        <v>0</v>
      </c>
      <c r="D105" s="270">
        <v>0</v>
      </c>
    </row>
    <row r="106" spans="1:4" ht="24.75">
      <c r="A106" s="278" t="s">
        <v>123</v>
      </c>
      <c r="B106" s="270">
        <v>105875</v>
      </c>
      <c r="C106" s="270">
        <v>740</v>
      </c>
      <c r="D106" s="270">
        <v>106615</v>
      </c>
    </row>
    <row r="107" spans="1:4" ht="14.25">
      <c r="A107" s="275" t="s">
        <v>200</v>
      </c>
      <c r="B107" s="264">
        <v>0</v>
      </c>
      <c r="C107" s="264">
        <v>740</v>
      </c>
      <c r="D107" s="264">
        <v>740</v>
      </c>
    </row>
    <row r="108" spans="1:4" ht="14.25">
      <c r="A108" s="275" t="s">
        <v>262</v>
      </c>
      <c r="B108" s="264">
        <v>46842</v>
      </c>
      <c r="C108" s="264">
        <v>0</v>
      </c>
      <c r="D108" s="264">
        <v>46842</v>
      </c>
    </row>
    <row r="109" spans="1:4" ht="14.25">
      <c r="A109" s="275" t="s">
        <v>263</v>
      </c>
      <c r="B109" s="264">
        <v>2702</v>
      </c>
      <c r="C109" s="264">
        <v>0</v>
      </c>
      <c r="D109" s="264">
        <v>2702</v>
      </c>
    </row>
    <row r="110" spans="1:4" ht="14.25">
      <c r="A110" s="275" t="s">
        <v>264</v>
      </c>
      <c r="B110" s="264">
        <v>32843</v>
      </c>
      <c r="C110" s="264">
        <v>0</v>
      </c>
      <c r="D110" s="264">
        <v>32843</v>
      </c>
    </row>
    <row r="111" spans="1:4" ht="14.25">
      <c r="A111" s="275" t="s">
        <v>265</v>
      </c>
      <c r="B111" s="264">
        <v>11895</v>
      </c>
      <c r="C111" s="264">
        <v>0</v>
      </c>
      <c r="D111" s="264">
        <v>11895</v>
      </c>
    </row>
    <row r="112" spans="1:4" ht="24.75">
      <c r="A112" s="278" t="s">
        <v>124</v>
      </c>
      <c r="B112" s="270">
        <v>8486</v>
      </c>
      <c r="C112" s="270">
        <v>18155</v>
      </c>
      <c r="D112" s="270">
        <v>26641</v>
      </c>
    </row>
    <row r="113" spans="1:4" ht="14.25">
      <c r="A113" s="275" t="s">
        <v>262</v>
      </c>
      <c r="B113" s="264">
        <v>26915</v>
      </c>
      <c r="C113" s="264">
        <v>12129</v>
      </c>
      <c r="D113" s="264">
        <v>39044</v>
      </c>
    </row>
    <row r="114" spans="1:4" ht="14.25">
      <c r="A114" s="275" t="s">
        <v>263</v>
      </c>
      <c r="B114" s="264">
        <v>-24628</v>
      </c>
      <c r="C114" s="264">
        <v>0</v>
      </c>
      <c r="D114" s="264">
        <v>-24628</v>
      </c>
    </row>
    <row r="115" spans="1:4" ht="14.25">
      <c r="A115" s="275" t="s">
        <v>266</v>
      </c>
      <c r="B115" s="264">
        <v>6199</v>
      </c>
      <c r="C115" s="264">
        <v>0</v>
      </c>
      <c r="D115" s="264">
        <v>6199</v>
      </c>
    </row>
    <row r="116" spans="1:4" ht="24.75">
      <c r="A116" s="276" t="s">
        <v>267</v>
      </c>
      <c r="B116" s="264">
        <v>0</v>
      </c>
      <c r="C116" s="264">
        <v>6026</v>
      </c>
      <c r="D116" s="264">
        <v>6026</v>
      </c>
    </row>
    <row r="117" spans="1:4" ht="14.25">
      <c r="A117" s="271" t="s">
        <v>268</v>
      </c>
      <c r="B117" s="262">
        <v>0</v>
      </c>
      <c r="C117" s="262">
        <v>0</v>
      </c>
      <c r="D117" s="262">
        <v>415</v>
      </c>
    </row>
    <row r="118" spans="1:4" ht="14.25">
      <c r="A118" s="275" t="s">
        <v>269</v>
      </c>
      <c r="B118" s="264">
        <v>0</v>
      </c>
      <c r="C118" s="264">
        <v>415</v>
      </c>
      <c r="D118" s="264">
        <v>415</v>
      </c>
    </row>
    <row r="119" spans="1:4" ht="14.25">
      <c r="A119" s="271" t="s">
        <v>270</v>
      </c>
      <c r="B119" s="262">
        <v>200</v>
      </c>
      <c r="C119" s="262">
        <v>200</v>
      </c>
      <c r="D119" s="262">
        <v>200</v>
      </c>
    </row>
    <row r="120" spans="1:4" ht="14.25">
      <c r="A120" s="272" t="s">
        <v>271</v>
      </c>
      <c r="B120" s="264">
        <v>200</v>
      </c>
      <c r="C120" s="264">
        <v>200</v>
      </c>
      <c r="D120" s="264">
        <v>0</v>
      </c>
    </row>
    <row r="121" spans="1:4" ht="14.25">
      <c r="A121" s="271" t="s">
        <v>272</v>
      </c>
      <c r="B121" s="262">
        <v>587</v>
      </c>
      <c r="C121" s="262">
        <v>35</v>
      </c>
      <c r="D121" s="262">
        <v>622</v>
      </c>
    </row>
    <row r="122" spans="1:4" ht="14.25">
      <c r="A122" s="272" t="s">
        <v>273</v>
      </c>
      <c r="B122" s="264">
        <v>587</v>
      </c>
      <c r="C122" s="264">
        <v>0</v>
      </c>
      <c r="D122" s="264">
        <v>587</v>
      </c>
    </row>
    <row r="123" spans="1:4" ht="14.25">
      <c r="A123" s="272" t="s">
        <v>274</v>
      </c>
      <c r="B123" s="264">
        <v>0</v>
      </c>
      <c r="C123" s="264">
        <v>35</v>
      </c>
      <c r="D123" s="264">
        <v>35</v>
      </c>
    </row>
    <row r="124" spans="1:4" ht="14.25">
      <c r="A124" s="271" t="s">
        <v>275</v>
      </c>
      <c r="B124" s="262">
        <v>0</v>
      </c>
      <c r="C124" s="262">
        <v>0</v>
      </c>
      <c r="D124" s="262">
        <v>0</v>
      </c>
    </row>
    <row r="125" spans="1:4" ht="14.25">
      <c r="A125" s="273" t="s">
        <v>276</v>
      </c>
      <c r="B125" s="270">
        <v>787</v>
      </c>
      <c r="C125" s="270">
        <v>450</v>
      </c>
      <c r="D125" s="270">
        <v>1237</v>
      </c>
    </row>
    <row r="126" spans="1:6" ht="14.25">
      <c r="A126" s="273" t="s">
        <v>277</v>
      </c>
      <c r="B126" s="270">
        <v>2125</v>
      </c>
      <c r="C126" s="270">
        <v>10657</v>
      </c>
      <c r="D126" s="270">
        <v>12782</v>
      </c>
      <c r="E126" s="266"/>
      <c r="F126" s="279"/>
    </row>
    <row r="127" spans="1:4" ht="14.25">
      <c r="A127" s="272" t="s">
        <v>278</v>
      </c>
      <c r="B127" s="264">
        <v>96</v>
      </c>
      <c r="C127" s="264">
        <v>75</v>
      </c>
      <c r="D127" s="264">
        <v>171</v>
      </c>
    </row>
    <row r="128" spans="1:4" ht="14.25">
      <c r="A128" s="272" t="s">
        <v>279</v>
      </c>
      <c r="B128" s="264">
        <v>85</v>
      </c>
      <c r="C128" s="264">
        <v>0</v>
      </c>
      <c r="D128" s="264">
        <v>85</v>
      </c>
    </row>
    <row r="129" spans="1:4" ht="14.25">
      <c r="A129" s="272" t="s">
        <v>280</v>
      </c>
      <c r="B129" s="264">
        <v>103</v>
      </c>
      <c r="C129" s="264">
        <v>0</v>
      </c>
      <c r="D129" s="264">
        <v>103</v>
      </c>
    </row>
    <row r="130" spans="1:4" ht="14.25">
      <c r="A130" s="272" t="s">
        <v>281</v>
      </c>
      <c r="B130" s="264">
        <v>369</v>
      </c>
      <c r="C130" s="264">
        <v>189</v>
      </c>
      <c r="D130" s="264">
        <v>558</v>
      </c>
    </row>
    <row r="131" spans="1:4" ht="14.25">
      <c r="A131" s="272" t="s">
        <v>282</v>
      </c>
      <c r="B131" s="264">
        <v>90</v>
      </c>
      <c r="C131" s="264">
        <v>0</v>
      </c>
      <c r="D131" s="264">
        <v>90</v>
      </c>
    </row>
    <row r="132" spans="1:4" ht="14.25">
      <c r="A132" s="272" t="s">
        <v>283</v>
      </c>
      <c r="B132" s="264">
        <v>862</v>
      </c>
      <c r="C132" s="264">
        <v>0</v>
      </c>
      <c r="D132" s="264">
        <v>862</v>
      </c>
    </row>
    <row r="133" spans="1:4" ht="14.25">
      <c r="A133" s="272" t="s">
        <v>284</v>
      </c>
      <c r="B133" s="264">
        <v>149</v>
      </c>
      <c r="C133" s="264">
        <v>0</v>
      </c>
      <c r="D133" s="264">
        <v>149</v>
      </c>
    </row>
    <row r="134" spans="1:4" ht="14.25">
      <c r="A134" s="272" t="s">
        <v>285</v>
      </c>
      <c r="B134" s="264">
        <v>149</v>
      </c>
      <c r="C134" s="264">
        <v>0</v>
      </c>
      <c r="D134" s="264">
        <v>149</v>
      </c>
    </row>
    <row r="135" spans="1:4" ht="14.25">
      <c r="A135" s="272" t="s">
        <v>179</v>
      </c>
      <c r="B135" s="264">
        <v>222</v>
      </c>
      <c r="C135" s="264">
        <v>0</v>
      </c>
      <c r="D135" s="264">
        <v>222</v>
      </c>
    </row>
    <row r="136" spans="1:4" ht="14.25">
      <c r="A136" s="272" t="s">
        <v>286</v>
      </c>
      <c r="B136" s="264">
        <v>0</v>
      </c>
      <c r="C136" s="264">
        <v>187</v>
      </c>
      <c r="D136" s="264">
        <v>187</v>
      </c>
    </row>
    <row r="137" spans="1:4" ht="14.25">
      <c r="A137" s="272" t="s">
        <v>287</v>
      </c>
      <c r="B137" s="264">
        <v>0</v>
      </c>
      <c r="C137" s="264">
        <v>8084</v>
      </c>
      <c r="D137" s="264">
        <v>8084</v>
      </c>
    </row>
    <row r="138" spans="1:4" ht="14.25">
      <c r="A138" s="272" t="s">
        <v>288</v>
      </c>
      <c r="B138" s="264">
        <v>0</v>
      </c>
      <c r="C138" s="264">
        <v>1404</v>
      </c>
      <c r="D138" s="264">
        <v>1404</v>
      </c>
    </row>
    <row r="139" spans="1:5" ht="14.25">
      <c r="A139" s="272" t="s">
        <v>289</v>
      </c>
      <c r="B139" s="264">
        <v>0</v>
      </c>
      <c r="C139" s="264">
        <v>718</v>
      </c>
      <c r="D139" s="264">
        <v>718</v>
      </c>
      <c r="E139" s="266"/>
    </row>
    <row r="140" spans="1:4" ht="14.25">
      <c r="A140" s="273" t="s">
        <v>290</v>
      </c>
      <c r="B140" s="270">
        <v>0</v>
      </c>
      <c r="C140" s="270">
        <v>0</v>
      </c>
      <c r="D140" s="270">
        <v>0</v>
      </c>
    </row>
    <row r="141" spans="1:4" ht="14.25">
      <c r="A141" s="273" t="s">
        <v>291</v>
      </c>
      <c r="B141" s="270">
        <v>3204</v>
      </c>
      <c r="C141" s="270">
        <v>7443</v>
      </c>
      <c r="D141" s="270">
        <v>10647</v>
      </c>
    </row>
    <row r="142" spans="1:4" ht="14.25">
      <c r="A142" s="272" t="s">
        <v>292</v>
      </c>
      <c r="B142" s="264">
        <v>600</v>
      </c>
      <c r="C142" s="264">
        <v>0</v>
      </c>
      <c r="D142" s="264">
        <v>600</v>
      </c>
    </row>
    <row r="143" spans="1:4" ht="14.25">
      <c r="A143" s="272" t="s">
        <v>293</v>
      </c>
      <c r="B143" s="264">
        <v>2604</v>
      </c>
      <c r="C143" s="264">
        <v>7442</v>
      </c>
      <c r="D143" s="264">
        <v>10047</v>
      </c>
    </row>
    <row r="144" spans="1:4" ht="14.25">
      <c r="A144" s="273" t="s">
        <v>294</v>
      </c>
      <c r="B144" s="270">
        <v>2371</v>
      </c>
      <c r="C144" s="270">
        <v>0</v>
      </c>
      <c r="D144" s="270">
        <v>2371</v>
      </c>
    </row>
    <row r="145" spans="1:4" ht="24.75">
      <c r="A145" s="268" t="s">
        <v>295</v>
      </c>
      <c r="B145" s="264">
        <v>1308</v>
      </c>
      <c r="C145" s="264">
        <v>0</v>
      </c>
      <c r="D145" s="264">
        <v>1308</v>
      </c>
    </row>
    <row r="146" spans="1:4" ht="14.25">
      <c r="A146" s="268" t="s">
        <v>296</v>
      </c>
      <c r="B146" s="264">
        <v>307</v>
      </c>
      <c r="C146" s="264">
        <v>0</v>
      </c>
      <c r="D146" s="264">
        <v>307</v>
      </c>
    </row>
    <row r="147" spans="1:4" ht="14.25">
      <c r="A147" s="268" t="s">
        <v>297</v>
      </c>
      <c r="B147" s="264">
        <v>756</v>
      </c>
      <c r="C147" s="264">
        <v>0</v>
      </c>
      <c r="D147" s="264">
        <v>756</v>
      </c>
    </row>
    <row r="148" spans="1:4" ht="14.25">
      <c r="A148" s="271" t="s">
        <v>136</v>
      </c>
      <c r="B148" s="262">
        <v>163102</v>
      </c>
      <c r="C148" s="262">
        <v>21910</v>
      </c>
      <c r="D148" s="262">
        <v>185012</v>
      </c>
    </row>
    <row r="149" spans="1:4" ht="14.25">
      <c r="A149" s="275" t="s">
        <v>298</v>
      </c>
      <c r="B149" s="277">
        <v>120264</v>
      </c>
      <c r="C149" s="277">
        <v>0</v>
      </c>
      <c r="D149" s="277">
        <v>120264</v>
      </c>
    </row>
    <row r="150" spans="1:5" ht="14.25">
      <c r="A150" s="275" t="s">
        <v>299</v>
      </c>
      <c r="B150" s="277">
        <v>42838</v>
      </c>
      <c r="C150" s="277">
        <v>0</v>
      </c>
      <c r="D150" s="277">
        <v>42838</v>
      </c>
      <c r="E150" s="266"/>
    </row>
    <row r="151" spans="1:5" ht="14.25">
      <c r="A151" s="275" t="s">
        <v>300</v>
      </c>
      <c r="B151" s="277"/>
      <c r="C151" s="277">
        <v>21910</v>
      </c>
      <c r="D151" s="277">
        <v>21910</v>
      </c>
      <c r="E151" s="266"/>
    </row>
    <row r="152" spans="1:4" ht="14.25">
      <c r="A152" s="271" t="s">
        <v>301</v>
      </c>
      <c r="B152" s="262">
        <v>16900</v>
      </c>
      <c r="C152" s="262">
        <v>0</v>
      </c>
      <c r="D152" s="262">
        <v>16900</v>
      </c>
    </row>
    <row r="153" spans="1:4" ht="14.25">
      <c r="A153" s="272" t="s">
        <v>302</v>
      </c>
      <c r="B153" s="264">
        <v>1500</v>
      </c>
      <c r="C153" s="264">
        <v>0</v>
      </c>
      <c r="D153" s="264">
        <v>1500</v>
      </c>
    </row>
    <row r="154" spans="1:4" ht="14.25">
      <c r="A154" s="272" t="s">
        <v>199</v>
      </c>
      <c r="B154" s="264">
        <v>15400</v>
      </c>
      <c r="C154" s="264">
        <v>0</v>
      </c>
      <c r="D154" s="264">
        <v>15400</v>
      </c>
    </row>
    <row r="155" spans="1:4" ht="14.25">
      <c r="A155" s="273" t="s">
        <v>138</v>
      </c>
      <c r="B155" s="270">
        <v>180002</v>
      </c>
      <c r="C155" s="270">
        <v>21910</v>
      </c>
      <c r="D155" s="270">
        <v>201912</v>
      </c>
    </row>
    <row r="156" spans="1:4" ht="14.25">
      <c r="A156" s="273" t="s">
        <v>303</v>
      </c>
      <c r="B156" s="270">
        <v>1000</v>
      </c>
      <c r="C156" s="270">
        <v>761</v>
      </c>
      <c r="D156" s="270">
        <v>1761</v>
      </c>
    </row>
    <row r="157" spans="1:4" ht="14.25">
      <c r="A157" s="275" t="s">
        <v>304</v>
      </c>
      <c r="B157" s="264">
        <v>1000</v>
      </c>
      <c r="C157" s="264">
        <v>0</v>
      </c>
      <c r="D157" s="264">
        <v>1000</v>
      </c>
    </row>
    <row r="158" spans="1:4" ht="24.75">
      <c r="A158" s="276" t="s">
        <v>305</v>
      </c>
      <c r="B158" s="264">
        <v>0</v>
      </c>
      <c r="C158" s="264">
        <v>761</v>
      </c>
      <c r="D158" s="264">
        <v>761</v>
      </c>
    </row>
    <row r="159" spans="1:4" ht="15.75">
      <c r="A159" s="280" t="s">
        <v>306</v>
      </c>
      <c r="B159" s="281">
        <v>428392</v>
      </c>
      <c r="C159" s="281">
        <f>SUM(C39,C45,C46,C50,C69,C70,C84,C85,C88,C91,C95,C99,C101,C105,C106,C112,C125,C126,C140,C141,C144,C155,C156)</f>
        <v>115574</v>
      </c>
      <c r="D159" s="281">
        <f>SUM(D39,D45,D46,D50,D69,D70,D84,D85,D88,D91,D95,D99,D101,D105,D106,D112,D125,D126,D140,D141,D144,D155,D156)</f>
        <v>543966</v>
      </c>
    </row>
    <row r="160" spans="3:4" ht="14.25">
      <c r="C160" s="266"/>
      <c r="D160" s="266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&amp;L.../2008.(....)rendelet
3/b. számú melléklete&amp;CKecskemét Megyei Jogú Város Önkormányzata intézményeinek
 2008. évi beruházási kiadásai célonként&amp;R3/b.számú táblázat
adatok E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workbookViewId="0" topLeftCell="A47">
      <selection activeCell="C159" sqref="C159"/>
    </sheetView>
  </sheetViews>
  <sheetFormatPr defaultColWidth="9.140625" defaultRowHeight="15"/>
  <cols>
    <col min="1" max="1" width="35.421875" style="258" customWidth="1"/>
    <col min="2" max="2" width="17.8515625" style="258" customWidth="1"/>
    <col min="3" max="3" width="12.00390625" style="258" customWidth="1"/>
    <col min="4" max="4" width="12.140625" style="258" customWidth="1"/>
    <col min="5" max="16384" width="9.140625" style="258" customWidth="1"/>
  </cols>
  <sheetData>
    <row r="1" spans="1:4" ht="51" customHeight="1">
      <c r="A1" s="259" t="s">
        <v>173</v>
      </c>
      <c r="B1" s="260" t="s">
        <v>174</v>
      </c>
      <c r="C1" s="259" t="s">
        <v>94</v>
      </c>
      <c r="D1" s="260" t="s">
        <v>72</v>
      </c>
    </row>
    <row r="2" spans="1:4" ht="14.25">
      <c r="A2" s="261" t="s">
        <v>175</v>
      </c>
      <c r="B2" s="262">
        <v>27500</v>
      </c>
      <c r="C2" s="262">
        <v>2453</v>
      </c>
      <c r="D2" s="262">
        <v>79953</v>
      </c>
    </row>
    <row r="3" spans="1:5" ht="14.25">
      <c r="A3" s="272" t="s">
        <v>307</v>
      </c>
      <c r="B3" s="264">
        <v>50000</v>
      </c>
      <c r="C3" s="264">
        <v>0</v>
      </c>
      <c r="D3" s="264">
        <v>50000</v>
      </c>
      <c r="E3" s="266"/>
    </row>
    <row r="4" spans="1:4" ht="14.25">
      <c r="A4" s="265" t="s">
        <v>189</v>
      </c>
      <c r="B4" s="264">
        <v>27500</v>
      </c>
      <c r="C4" s="264">
        <v>480</v>
      </c>
      <c r="D4" s="264">
        <v>27980</v>
      </c>
    </row>
    <row r="5" spans="1:4" ht="14.25">
      <c r="A5" s="265" t="s">
        <v>308</v>
      </c>
      <c r="B5" s="264">
        <v>0</v>
      </c>
      <c r="C5" s="264">
        <v>1537</v>
      </c>
      <c r="D5" s="264">
        <v>1537</v>
      </c>
    </row>
    <row r="6" spans="1:4" ht="14.25">
      <c r="A6" s="265" t="s">
        <v>309</v>
      </c>
      <c r="B6" s="264">
        <v>0</v>
      </c>
      <c r="C6" s="264">
        <v>436</v>
      </c>
      <c r="D6" s="264">
        <v>436</v>
      </c>
    </row>
    <row r="7" spans="1:4" ht="14.25">
      <c r="A7" s="267" t="s">
        <v>92</v>
      </c>
      <c r="B7" s="262">
        <v>0</v>
      </c>
      <c r="C7" s="262"/>
      <c r="D7" s="262"/>
    </row>
    <row r="8" spans="1:4" ht="14.25">
      <c r="A8" s="265" t="s">
        <v>310</v>
      </c>
      <c r="B8" s="262">
        <v>0</v>
      </c>
      <c r="C8" s="262">
        <v>4279</v>
      </c>
      <c r="D8" s="262">
        <v>4279</v>
      </c>
    </row>
    <row r="9" spans="1:4" ht="14.25">
      <c r="A9" s="267" t="s">
        <v>208</v>
      </c>
      <c r="B9" s="262">
        <v>0</v>
      </c>
      <c r="C9" s="262">
        <v>0</v>
      </c>
      <c r="D9" s="262">
        <v>0</v>
      </c>
    </row>
    <row r="10" spans="1:4" ht="14.25">
      <c r="A10" s="269" t="s">
        <v>311</v>
      </c>
      <c r="B10" s="270">
        <v>77500</v>
      </c>
      <c r="C10" s="270">
        <v>6732</v>
      </c>
      <c r="D10" s="270">
        <v>84232</v>
      </c>
    </row>
    <row r="11" spans="1:4" ht="14.25">
      <c r="A11" s="271" t="s">
        <v>211</v>
      </c>
      <c r="B11" s="262">
        <v>0</v>
      </c>
      <c r="C11" s="262">
        <v>0</v>
      </c>
      <c r="D11" s="262">
        <v>0</v>
      </c>
    </row>
    <row r="12" spans="1:4" ht="14.25">
      <c r="A12" s="272" t="s">
        <v>312</v>
      </c>
      <c r="B12" s="264">
        <v>0</v>
      </c>
      <c r="C12" s="264">
        <v>0</v>
      </c>
      <c r="D12" s="264">
        <v>0</v>
      </c>
    </row>
    <row r="13" spans="1:4" ht="14.25">
      <c r="A13" s="272" t="s">
        <v>313</v>
      </c>
      <c r="B13" s="264">
        <v>0</v>
      </c>
      <c r="C13" s="264">
        <v>0</v>
      </c>
      <c r="D13" s="264">
        <v>0</v>
      </c>
    </row>
    <row r="14" spans="1:4" ht="14.25">
      <c r="A14" s="272" t="s">
        <v>314</v>
      </c>
      <c r="B14" s="264">
        <v>-5017</v>
      </c>
      <c r="C14" s="264">
        <v>0</v>
      </c>
      <c r="D14" s="264">
        <v>0</v>
      </c>
    </row>
    <row r="15" spans="1:4" ht="14.25">
      <c r="A15" s="271" t="s">
        <v>101</v>
      </c>
      <c r="B15" s="262">
        <v>0</v>
      </c>
      <c r="C15" s="262">
        <v>0</v>
      </c>
      <c r="D15" s="262">
        <v>0</v>
      </c>
    </row>
    <row r="16" spans="1:4" ht="14.25">
      <c r="A16" s="273" t="s">
        <v>215</v>
      </c>
      <c r="B16" s="270">
        <v>0</v>
      </c>
      <c r="C16" s="270">
        <v>0</v>
      </c>
      <c r="D16" s="270">
        <v>0</v>
      </c>
    </row>
    <row r="17" spans="1:4" ht="14.25">
      <c r="A17" s="273" t="s">
        <v>216</v>
      </c>
      <c r="B17" s="270">
        <v>0</v>
      </c>
      <c r="C17" s="270">
        <v>0</v>
      </c>
      <c r="D17" s="270">
        <v>0</v>
      </c>
    </row>
    <row r="18" spans="1:4" ht="14.25">
      <c r="A18" s="273" t="s">
        <v>220</v>
      </c>
      <c r="B18" s="270">
        <v>0</v>
      </c>
      <c r="C18" s="270">
        <v>0</v>
      </c>
      <c r="D18" s="270">
        <v>0</v>
      </c>
    </row>
    <row r="19" spans="1:4" ht="14.25">
      <c r="A19" s="271" t="s">
        <v>230</v>
      </c>
      <c r="B19" s="262">
        <v>0</v>
      </c>
      <c r="C19" s="262">
        <v>0</v>
      </c>
      <c r="D19" s="262">
        <v>0</v>
      </c>
    </row>
    <row r="20" spans="1:4" ht="14.25">
      <c r="A20" s="271" t="s">
        <v>235</v>
      </c>
      <c r="B20" s="262">
        <v>0</v>
      </c>
      <c r="C20" s="262">
        <v>0</v>
      </c>
      <c r="D20" s="262">
        <v>0</v>
      </c>
    </row>
    <row r="21" spans="1:4" ht="14.25">
      <c r="A21" s="273" t="s">
        <v>237</v>
      </c>
      <c r="B21" s="270">
        <v>0</v>
      </c>
      <c r="C21" s="270">
        <v>0</v>
      </c>
      <c r="D21" s="270">
        <v>0</v>
      </c>
    </row>
    <row r="22" spans="1:4" ht="14.25">
      <c r="A22" s="273" t="s">
        <v>238</v>
      </c>
      <c r="B22" s="270">
        <v>0</v>
      </c>
      <c r="C22" s="270">
        <v>0</v>
      </c>
      <c r="D22" s="270">
        <v>0</v>
      </c>
    </row>
    <row r="23" spans="1:4" ht="14.25">
      <c r="A23" s="273" t="s">
        <v>241</v>
      </c>
      <c r="B23" s="270">
        <v>1004</v>
      </c>
      <c r="C23" s="270">
        <v>0</v>
      </c>
      <c r="D23" s="270">
        <v>1004</v>
      </c>
    </row>
    <row r="24" spans="1:4" ht="14.25">
      <c r="A24" s="275" t="s">
        <v>315</v>
      </c>
      <c r="B24" s="264">
        <v>1004</v>
      </c>
      <c r="C24" s="264">
        <v>0</v>
      </c>
      <c r="D24" s="264">
        <v>1004</v>
      </c>
    </row>
    <row r="25" spans="1:4" ht="14.25">
      <c r="A25" s="273" t="s">
        <v>110</v>
      </c>
      <c r="B25" s="270">
        <v>67</v>
      </c>
      <c r="C25" s="270">
        <v>0</v>
      </c>
      <c r="D25" s="270">
        <v>67</v>
      </c>
    </row>
    <row r="26" spans="1:4" ht="14.25">
      <c r="A26" s="275" t="s">
        <v>316</v>
      </c>
      <c r="B26" s="264">
        <v>67</v>
      </c>
      <c r="C26" s="264">
        <v>0</v>
      </c>
      <c r="D26" s="264">
        <v>67</v>
      </c>
    </row>
    <row r="27" spans="1:4" ht="14.25">
      <c r="A27" s="273" t="s">
        <v>111</v>
      </c>
      <c r="B27" s="270">
        <v>1589</v>
      </c>
      <c r="C27" s="270">
        <v>0</v>
      </c>
      <c r="D27" s="270">
        <v>1589</v>
      </c>
    </row>
    <row r="28" spans="1:4" ht="14.25">
      <c r="A28" s="275" t="s">
        <v>317</v>
      </c>
      <c r="B28" s="264">
        <v>1589</v>
      </c>
      <c r="C28" s="264">
        <v>0</v>
      </c>
      <c r="D28" s="264">
        <v>1589</v>
      </c>
    </row>
    <row r="29" spans="1:4" ht="14.25">
      <c r="A29" s="273" t="s">
        <v>247</v>
      </c>
      <c r="B29" s="270">
        <v>4265</v>
      </c>
      <c r="C29" s="270">
        <v>0</v>
      </c>
      <c r="D29" s="270">
        <v>4265</v>
      </c>
    </row>
    <row r="30" spans="1:4" ht="14.25">
      <c r="A30" s="275" t="s">
        <v>318</v>
      </c>
      <c r="B30" s="264">
        <v>4265</v>
      </c>
      <c r="C30" s="264">
        <v>0</v>
      </c>
      <c r="D30" s="264">
        <v>4265</v>
      </c>
    </row>
    <row r="31" spans="1:4" ht="14.25">
      <c r="A31" s="273" t="s">
        <v>250</v>
      </c>
      <c r="B31" s="270">
        <v>0</v>
      </c>
      <c r="C31" s="270">
        <v>0</v>
      </c>
      <c r="D31" s="270">
        <v>0</v>
      </c>
    </row>
    <row r="32" spans="1:4" ht="14.25">
      <c r="A32" s="273" t="s">
        <v>252</v>
      </c>
      <c r="B32" s="270">
        <v>0</v>
      </c>
      <c r="C32" s="270">
        <v>0</v>
      </c>
      <c r="D32" s="270">
        <v>0</v>
      </c>
    </row>
    <row r="33" spans="1:4" ht="14.25">
      <c r="A33" s="273" t="s">
        <v>253</v>
      </c>
      <c r="B33" s="270">
        <v>0</v>
      </c>
      <c r="C33" s="270">
        <v>0</v>
      </c>
      <c r="D33" s="270">
        <v>0</v>
      </c>
    </row>
    <row r="34" spans="1:4" ht="14.25">
      <c r="A34" s="273" t="s">
        <v>256</v>
      </c>
      <c r="B34" s="270">
        <v>0</v>
      </c>
      <c r="C34" s="270">
        <v>0</v>
      </c>
      <c r="D34" s="270">
        <v>0</v>
      </c>
    </row>
    <row r="35" spans="1:4" ht="14.25">
      <c r="A35" s="275" t="s">
        <v>319</v>
      </c>
      <c r="B35" s="277">
        <v>48493</v>
      </c>
      <c r="C35" s="277">
        <v>0</v>
      </c>
      <c r="D35" s="277">
        <v>48493</v>
      </c>
    </row>
    <row r="36" spans="1:4" ht="14.25">
      <c r="A36" s="275" t="s">
        <v>320</v>
      </c>
      <c r="B36" s="277">
        <v>-36750</v>
      </c>
      <c r="C36" s="277">
        <v>0</v>
      </c>
      <c r="D36" s="277">
        <v>-36750</v>
      </c>
    </row>
    <row r="37" spans="1:4" ht="14.25">
      <c r="A37" s="275" t="s">
        <v>251</v>
      </c>
      <c r="B37" s="277">
        <v>-11923</v>
      </c>
      <c r="C37" s="277">
        <v>0</v>
      </c>
      <c r="D37" s="277">
        <v>-11923</v>
      </c>
    </row>
    <row r="38" spans="1:4" ht="14.25">
      <c r="A38" s="273" t="s">
        <v>258</v>
      </c>
      <c r="B38" s="270">
        <v>0</v>
      </c>
      <c r="C38" s="270">
        <v>0</v>
      </c>
      <c r="D38" s="270">
        <v>0</v>
      </c>
    </row>
    <row r="39" spans="1:4" ht="14.25">
      <c r="A39" s="273" t="s">
        <v>259</v>
      </c>
      <c r="B39" s="270">
        <v>0</v>
      </c>
      <c r="C39" s="270">
        <v>0</v>
      </c>
      <c r="D39" s="270">
        <v>0</v>
      </c>
    </row>
    <row r="40" spans="1:4" ht="14.25">
      <c r="A40" s="273" t="s">
        <v>261</v>
      </c>
      <c r="B40" s="270">
        <v>0</v>
      </c>
      <c r="C40" s="270">
        <v>0</v>
      </c>
      <c r="D40" s="270">
        <v>0</v>
      </c>
    </row>
    <row r="41" spans="1:4" ht="24.75">
      <c r="A41" s="278" t="s">
        <v>123</v>
      </c>
      <c r="B41" s="270">
        <v>196</v>
      </c>
      <c r="C41" s="270">
        <v>0</v>
      </c>
      <c r="D41" s="270">
        <v>196</v>
      </c>
    </row>
    <row r="42" spans="1:4" ht="14.25">
      <c r="A42" s="275" t="s">
        <v>319</v>
      </c>
      <c r="B42" s="264">
        <v>11924</v>
      </c>
      <c r="C42" s="264"/>
      <c r="D42" s="264">
        <v>11924</v>
      </c>
    </row>
    <row r="43" spans="1:4" ht="14.25">
      <c r="A43" s="275" t="s">
        <v>263</v>
      </c>
      <c r="B43" s="264">
        <v>11923</v>
      </c>
      <c r="C43" s="264"/>
      <c r="D43" s="264">
        <v>11923</v>
      </c>
    </row>
    <row r="44" spans="1:4" ht="14.25">
      <c r="A44" s="275" t="s">
        <v>321</v>
      </c>
      <c r="B44" s="264">
        <v>-23650</v>
      </c>
      <c r="C44" s="264"/>
      <c r="D44" s="264">
        <v>-23650</v>
      </c>
    </row>
    <row r="45" spans="1:4" ht="24.75">
      <c r="A45" s="278" t="s">
        <v>124</v>
      </c>
      <c r="B45" s="270">
        <v>0</v>
      </c>
      <c r="C45" s="270">
        <v>0</v>
      </c>
      <c r="D45" s="270">
        <v>0</v>
      </c>
    </row>
    <row r="46" spans="1:4" ht="14.25">
      <c r="A46" s="271" t="s">
        <v>268</v>
      </c>
      <c r="B46" s="262">
        <v>0</v>
      </c>
      <c r="C46" s="262">
        <v>0</v>
      </c>
      <c r="D46" s="270">
        <v>0</v>
      </c>
    </row>
    <row r="47" spans="1:4" ht="14.25">
      <c r="A47" s="271" t="s">
        <v>270</v>
      </c>
      <c r="B47" s="262">
        <v>0</v>
      </c>
      <c r="C47" s="262">
        <v>0</v>
      </c>
      <c r="D47" s="270">
        <v>0</v>
      </c>
    </row>
    <row r="48" spans="1:4" ht="14.25">
      <c r="A48" s="271" t="s">
        <v>272</v>
      </c>
      <c r="B48" s="262">
        <v>0</v>
      </c>
      <c r="C48" s="262">
        <v>0</v>
      </c>
      <c r="D48" s="270">
        <v>0</v>
      </c>
    </row>
    <row r="49" spans="1:4" ht="14.25">
      <c r="A49" s="271" t="s">
        <v>275</v>
      </c>
      <c r="B49" s="262">
        <v>0</v>
      </c>
      <c r="C49" s="262">
        <v>0</v>
      </c>
      <c r="D49" s="270">
        <v>0</v>
      </c>
    </row>
    <row r="50" spans="1:4" ht="14.25">
      <c r="A50" s="273" t="s">
        <v>322</v>
      </c>
      <c r="B50" s="270">
        <v>0</v>
      </c>
      <c r="C50" s="270">
        <v>0</v>
      </c>
      <c r="D50" s="270">
        <v>0</v>
      </c>
    </row>
    <row r="51" spans="1:4" ht="14.25">
      <c r="A51" s="273" t="s">
        <v>277</v>
      </c>
      <c r="B51" s="270">
        <v>0</v>
      </c>
      <c r="C51" s="270">
        <v>1431</v>
      </c>
      <c r="D51" s="270">
        <v>1431</v>
      </c>
    </row>
    <row r="52" spans="1:4" ht="14.25">
      <c r="A52" s="275" t="s">
        <v>323</v>
      </c>
      <c r="B52" s="264">
        <v>0</v>
      </c>
      <c r="C52" s="264">
        <v>1431</v>
      </c>
      <c r="D52" s="264">
        <v>1431</v>
      </c>
    </row>
    <row r="53" spans="1:4" ht="14.25">
      <c r="A53" s="273" t="s">
        <v>290</v>
      </c>
      <c r="B53" s="270">
        <v>0</v>
      </c>
      <c r="C53" s="270">
        <v>0</v>
      </c>
      <c r="D53" s="270">
        <v>0</v>
      </c>
    </row>
    <row r="54" spans="1:4" ht="14.25">
      <c r="A54" s="273" t="s">
        <v>291</v>
      </c>
      <c r="B54" s="270">
        <v>0</v>
      </c>
      <c r="C54" s="270">
        <v>0</v>
      </c>
      <c r="D54" s="270">
        <v>0</v>
      </c>
    </row>
    <row r="55" spans="1:4" ht="14.25">
      <c r="A55" s="273" t="s">
        <v>294</v>
      </c>
      <c r="B55" s="270">
        <v>2302</v>
      </c>
      <c r="C55" s="270">
        <v>231</v>
      </c>
      <c r="D55" s="270">
        <v>2533</v>
      </c>
    </row>
    <row r="56" spans="1:4" ht="14.25">
      <c r="A56" s="275" t="s">
        <v>324</v>
      </c>
      <c r="B56" s="264">
        <v>880</v>
      </c>
      <c r="C56" s="264">
        <v>0</v>
      </c>
      <c r="D56" s="264">
        <v>880</v>
      </c>
    </row>
    <row r="57" spans="1:4" ht="14.25">
      <c r="A57" s="275" t="s">
        <v>325</v>
      </c>
      <c r="B57" s="264">
        <v>1422</v>
      </c>
      <c r="C57" s="264">
        <v>231</v>
      </c>
      <c r="D57" s="264">
        <v>1653</v>
      </c>
    </row>
    <row r="58" spans="1:4" ht="14.25">
      <c r="A58" s="275" t="s">
        <v>136</v>
      </c>
      <c r="B58" s="264">
        <v>0</v>
      </c>
      <c r="C58" s="264">
        <v>0</v>
      </c>
      <c r="D58" s="264">
        <v>0</v>
      </c>
    </row>
    <row r="59" spans="1:4" ht="14.25">
      <c r="A59" s="275" t="s">
        <v>301</v>
      </c>
      <c r="B59" s="264">
        <v>0</v>
      </c>
      <c r="C59" s="264">
        <v>0</v>
      </c>
      <c r="D59" s="264">
        <v>0</v>
      </c>
    </row>
    <row r="60" spans="1:4" ht="14.25">
      <c r="A60" s="273" t="s">
        <v>138</v>
      </c>
      <c r="B60" s="270">
        <v>0</v>
      </c>
      <c r="C60" s="270">
        <v>0</v>
      </c>
      <c r="D60" s="270">
        <v>0</v>
      </c>
    </row>
    <row r="61" spans="1:4" ht="14.25">
      <c r="A61" s="273" t="s">
        <v>303</v>
      </c>
      <c r="B61" s="270">
        <v>26560</v>
      </c>
      <c r="C61" s="270">
        <v>7064</v>
      </c>
      <c r="D61" s="270">
        <v>33624</v>
      </c>
    </row>
    <row r="62" spans="1:4" ht="14.25">
      <c r="A62" s="272" t="s">
        <v>326</v>
      </c>
      <c r="B62" s="264">
        <v>2000</v>
      </c>
      <c r="C62" s="264">
        <v>0</v>
      </c>
      <c r="D62" s="264">
        <v>2000</v>
      </c>
    </row>
    <row r="63" spans="1:4" ht="14.25">
      <c r="A63" s="272" t="s">
        <v>327</v>
      </c>
      <c r="B63" s="264">
        <v>24560</v>
      </c>
      <c r="C63" s="264">
        <v>0</v>
      </c>
      <c r="D63" s="264">
        <v>24560</v>
      </c>
    </row>
    <row r="64" spans="1:5" ht="39" customHeight="1">
      <c r="A64" s="282" t="s">
        <v>328</v>
      </c>
      <c r="B64" s="264">
        <v>0</v>
      </c>
      <c r="C64" s="264">
        <v>7064</v>
      </c>
      <c r="D64" s="264">
        <v>7064</v>
      </c>
      <c r="E64" s="266"/>
    </row>
    <row r="65" spans="1:5" ht="18">
      <c r="A65" s="283" t="s">
        <v>306</v>
      </c>
      <c r="B65" s="284">
        <v>113483</v>
      </c>
      <c r="C65" s="284">
        <f>SUM(C10,C16,C17,C18,C21,C22,C23,C25,C27,C29,C31:C34,C38:C41,C45,C51,C53,C55,C60,C61)</f>
        <v>15458</v>
      </c>
      <c r="D65" s="284">
        <f>SUM(D10,D16,D17,D18,D21,D22,D23,D25,D27,D29,D31:D34,D38:D41,D45,D50,D51,D53,D54,D55,D60,D61)</f>
        <v>128941</v>
      </c>
      <c r="E65" s="266"/>
    </row>
  </sheetData>
  <sheetProtection selectLockedCells="1" selectUnlockedCells="1"/>
  <printOptions/>
  <pageMargins left="0.75" right="0.75" top="1" bottom="1" header="0.5" footer="0.5118055555555555"/>
  <pageSetup horizontalDpi="300" verticalDpi="300" orientation="portrait" paperSize="9"/>
  <headerFooter alignWithMargins="0">
    <oddHeader>&amp;L.../2008.(....)rendelet
3/b. számú melléklete&amp;CKecskemét Megyei Jogú Város Önkormányzata intézményeinek
 2008. évi felújítási kiadásai célonként&amp;R3/b.számú táblázat
adatok E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gep</dc:creator>
  <cp:keywords/>
  <dc:description/>
  <cp:lastModifiedBy>gep</cp:lastModifiedBy>
  <cp:lastPrinted>2008-03-03T12:46:32Z</cp:lastPrinted>
  <dcterms:created xsi:type="dcterms:W3CDTF">2008-02-11T16:02:20Z</dcterms:created>
  <dcterms:modified xsi:type="dcterms:W3CDTF">2009-02-09T10:00:33Z</dcterms:modified>
  <cp:category/>
  <cp:version/>
  <cp:contentType/>
  <cp:contentStatus/>
</cp:coreProperties>
</file>